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0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1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L:\Erhvervsøkonomi\LandbrugsInfo\01-LandbrugsInfo\23-Promille\"/>
    </mc:Choice>
  </mc:AlternateContent>
  <xr:revisionPtr revIDLastSave="0" documentId="8_{9F45D808-398A-4AA4-9762-E020F86498B0}" xr6:coauthVersionLast="45" xr6:coauthVersionMax="45" xr10:uidLastSave="{00000000-0000-0000-0000-000000000000}"/>
  <bookViews>
    <workbookView xWindow="25080" yWindow="-465" windowWidth="29040" windowHeight="15840" tabRatio="856" firstSheet="3" activeTab="3" xr2:uid="{5A20C7B7-4264-4CC2-B3F0-87E577DF9340}"/>
  </bookViews>
  <sheets>
    <sheet name="N2O emissioner fra stald" sheetId="3" state="hidden" r:id="rId1"/>
    <sheet name="N2O emissioner fra lager" sheetId="17" state="hidden" r:id="rId2"/>
    <sheet name="metan emissioner" sheetId="1" state="hidden" r:id="rId3"/>
    <sheet name="Dokumentation" sheetId="24" r:id="rId4"/>
    <sheet name="Emissionsfaktorer smågrise" sheetId="6" r:id="rId5"/>
    <sheet name="Emissionsfaktorer slagtesvin" sheetId="25" r:id="rId6"/>
    <sheet name="Emissionsfaktorer søer" sheetId="7" r:id="rId7"/>
    <sheet name="Normtal konventionel" sheetId="4" r:id="rId8"/>
    <sheet name="Normtal økologi" sheetId="5" r:id="rId9"/>
    <sheet name="Standard produktivitet" sheetId="21" r:id="rId10"/>
    <sheet name="Ark1" sheetId="26" r:id="rId11"/>
    <sheet name="Normtal Vand-energi-syre" sheetId="22" r:id="rId12"/>
    <sheet name="Standar-Foderblandinger" sheetId="23" r:id="rId13"/>
    <sheet name="Halmstrøelse" sheetId="20" r:id="rId14"/>
    <sheet name="Emissionsfaktorer-M2" sheetId="18" r:id="rId15"/>
    <sheet name="Emission-Gylleopbevaring" sheetId="16" r:id="rId16"/>
    <sheet name="Metan MCF" sheetId="15" r:id="rId17"/>
  </sheets>
  <externalReferences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" i="25" l="1"/>
  <c r="F10" i="6"/>
  <c r="I11" i="6" l="1"/>
  <c r="I12" i="6"/>
  <c r="I14" i="25"/>
  <c r="I15" i="25"/>
  <c r="I13" i="25"/>
  <c r="I10" i="6"/>
  <c r="F11" i="6"/>
  <c r="F12" i="6"/>
  <c r="F9" i="25" l="1"/>
  <c r="H44" i="25"/>
  <c r="F15" i="25" s="1"/>
  <c r="F44" i="25"/>
  <c r="I44" i="25" s="1"/>
  <c r="H43" i="25"/>
  <c r="F14" i="25" s="1"/>
  <c r="H42" i="25"/>
  <c r="H40" i="25"/>
  <c r="F40" i="25" s="1"/>
  <c r="I40" i="25" s="1"/>
  <c r="I11" i="25" s="1"/>
  <c r="H39" i="25"/>
  <c r="F10" i="25" s="1"/>
  <c r="F39" i="25"/>
  <c r="I39" i="25" s="1"/>
  <c r="I10" i="25" s="1"/>
  <c r="H38" i="25"/>
  <c r="F38" i="25" s="1"/>
  <c r="I38" i="25" s="1"/>
  <c r="I9" i="25" s="1"/>
  <c r="H37" i="25"/>
  <c r="F37" i="25"/>
  <c r="I37" i="25" s="1"/>
  <c r="I8" i="25" s="1"/>
  <c r="H36" i="25"/>
  <c r="F36" i="25" s="1"/>
  <c r="I36" i="25" s="1"/>
  <c r="I7" i="25" s="1"/>
  <c r="H35" i="25"/>
  <c r="F35" i="25" s="1"/>
  <c r="I35" i="25" s="1"/>
  <c r="I6" i="25" s="1"/>
  <c r="J26" i="25"/>
  <c r="J25" i="25"/>
  <c r="F8" i="25"/>
  <c r="F7" i="25"/>
  <c r="F11" i="25" l="1"/>
  <c r="F43" i="25"/>
  <c r="I43" i="25" s="1"/>
  <c r="F6" i="25"/>
  <c r="C103" i="20"/>
  <c r="C102" i="20"/>
  <c r="B20" i="23"/>
  <c r="C20" i="23"/>
  <c r="F20" i="23"/>
  <c r="C58" i="7" l="1"/>
  <c r="E49" i="7"/>
  <c r="D49" i="7"/>
  <c r="C49" i="7" s="1"/>
  <c r="J21" i="5"/>
  <c r="J23" i="5"/>
  <c r="J25" i="5"/>
  <c r="J19" i="5"/>
  <c r="J33" i="4" s="1"/>
  <c r="I7" i="7" l="1"/>
  <c r="D45" i="7"/>
  <c r="C45" i="7" s="1"/>
  <c r="E45" i="7" s="1"/>
  <c r="A40" i="7"/>
  <c r="J49" i="4"/>
  <c r="J50" i="4"/>
  <c r="J47" i="4"/>
  <c r="J35" i="4"/>
  <c r="J37" i="4"/>
  <c r="J39" i="4"/>
  <c r="J41" i="4"/>
  <c r="H33" i="6"/>
  <c r="F33" i="6" s="1"/>
  <c r="H35" i="6"/>
  <c r="F35" i="6" s="1"/>
  <c r="I35" i="6" s="1"/>
  <c r="H34" i="6"/>
  <c r="F34" i="6" s="1"/>
  <c r="I34" i="6" s="1"/>
  <c r="D57" i="7"/>
  <c r="C57" i="7" s="1"/>
  <c r="E57" i="7" s="1"/>
  <c r="D56" i="7"/>
  <c r="C56" i="7" s="1"/>
  <c r="E56" i="7" s="1"/>
  <c r="D55" i="7"/>
  <c r="C55" i="7" s="1"/>
  <c r="E55" i="7" s="1"/>
  <c r="D54" i="7"/>
  <c r="C54" i="7" s="1"/>
  <c r="E54" i="7" s="1"/>
  <c r="D48" i="7"/>
  <c r="C48" i="7" s="1"/>
  <c r="E48" i="7" s="1"/>
  <c r="D47" i="7"/>
  <c r="C47" i="7" s="1"/>
  <c r="E47" i="7" s="1"/>
  <c r="D44" i="7"/>
  <c r="C44" i="7" s="1"/>
  <c r="E44" i="7" s="1"/>
  <c r="D43" i="7"/>
  <c r="C43" i="7" s="1"/>
  <c r="E43" i="7" s="1"/>
  <c r="D42" i="7"/>
  <c r="C42" i="7" s="1"/>
  <c r="E42" i="7" s="1"/>
  <c r="D41" i="7"/>
  <c r="C41" i="7" s="1"/>
  <c r="E41" i="7" s="1"/>
  <c r="D40" i="7"/>
  <c r="C40" i="7" s="1"/>
  <c r="E40" i="7" s="1"/>
  <c r="I6" i="7" s="1"/>
  <c r="H29" i="6"/>
  <c r="F29" i="6" s="1"/>
  <c r="I29" i="6" s="1"/>
  <c r="I6" i="6" s="1"/>
  <c r="H30" i="6"/>
  <c r="F30" i="6" s="1"/>
  <c r="I30" i="6" s="1"/>
  <c r="I7" i="6" s="1"/>
  <c r="H31" i="6"/>
  <c r="F31" i="6" s="1"/>
  <c r="I31" i="6" s="1"/>
  <c r="I8" i="6" s="1"/>
  <c r="H28" i="6"/>
  <c r="F28" i="6" s="1"/>
  <c r="I28" i="6" s="1"/>
  <c r="I5" i="6" s="1"/>
  <c r="E7" i="4" l="1"/>
  <c r="J7" i="4" s="1"/>
  <c r="E9" i="4"/>
  <c r="J9" i="4" s="1"/>
  <c r="E11" i="4"/>
  <c r="J11" i="4" s="1"/>
  <c r="E13" i="4"/>
  <c r="J13" i="4" s="1"/>
  <c r="E15" i="4"/>
  <c r="J15" i="4" s="1"/>
  <c r="K10" i="17" l="1"/>
  <c r="AL8" i="3" l="1"/>
  <c r="AI8" i="3"/>
  <c r="Q10" i="17"/>
  <c r="I14" i="17"/>
  <c r="I24" i="17"/>
  <c r="M14" i="17" l="1"/>
  <c r="H14" i="17"/>
  <c r="H24" i="17"/>
  <c r="N14" i="17" l="1"/>
  <c r="M24" i="17" l="1"/>
  <c r="N24" i="17" l="1"/>
  <c r="F8" i="6"/>
  <c r="F7" i="6"/>
  <c r="F5" i="6"/>
  <c r="F6" i="6"/>
  <c r="J24" i="6" l="1"/>
  <c r="J23" i="6"/>
  <c r="Q22" i="3" l="1"/>
  <c r="P22" i="3"/>
  <c r="J22" i="3"/>
  <c r="T22" i="3" s="1"/>
  <c r="Q15" i="3"/>
  <c r="P15" i="3"/>
  <c r="I15" i="3"/>
  <c r="J15" i="3" s="1"/>
  <c r="W22" i="3" l="1"/>
  <c r="Z22" i="3" s="1"/>
  <c r="AB22" i="3" s="1"/>
  <c r="T15" i="3"/>
  <c r="W15" i="3" s="1"/>
  <c r="R15" i="3"/>
  <c r="R22" i="3"/>
  <c r="E5" i="6"/>
  <c r="J4" i="6"/>
  <c r="F4" i="6"/>
  <c r="J35" i="7"/>
  <c r="E23" i="7"/>
  <c r="E21" i="7"/>
  <c r="E20" i="7"/>
  <c r="E18" i="7"/>
  <c r="J7" i="7"/>
  <c r="F7" i="7"/>
  <c r="AA22" i="3" l="1"/>
  <c r="S22" i="3"/>
  <c r="S15" i="3"/>
  <c r="E16" i="5"/>
  <c r="J16" i="5" s="1"/>
  <c r="E14" i="5"/>
  <c r="J14" i="5" s="1"/>
  <c r="E12" i="5"/>
  <c r="J12" i="5" s="1"/>
  <c r="E8" i="5"/>
  <c r="J8" i="5" s="1"/>
  <c r="E6" i="5"/>
  <c r="J6" i="5" s="1"/>
  <c r="E4" i="5"/>
  <c r="J4" i="5" s="1"/>
  <c r="E25" i="4"/>
  <c r="J25" i="4" s="1"/>
  <c r="E23" i="4"/>
  <c r="J23" i="4" s="1"/>
  <c r="E21" i="4"/>
  <c r="J21" i="4" s="1"/>
  <c r="E19" i="4"/>
  <c r="J19" i="4" s="1"/>
  <c r="E5" i="4"/>
  <c r="J5" i="4" s="1"/>
  <c r="Q12" i="3" l="1"/>
  <c r="P12" i="3"/>
  <c r="I12" i="3"/>
  <c r="J12" i="3" s="1"/>
  <c r="L27" i="1"/>
  <c r="L26" i="1"/>
  <c r="L25" i="1"/>
  <c r="H26" i="1"/>
  <c r="H25" i="1"/>
  <c r="F26" i="1"/>
  <c r="E25" i="1"/>
  <c r="F25" i="1" s="1"/>
  <c r="R12" i="3" l="1"/>
  <c r="T12" i="3"/>
  <c r="W12" i="3" s="1"/>
  <c r="Q8" i="3"/>
  <c r="Z12" i="3" l="1"/>
  <c r="AA12" i="3" s="1"/>
  <c r="S12" i="3"/>
  <c r="P8" i="3"/>
  <c r="AB12" i="3" l="1"/>
  <c r="I8" i="3"/>
  <c r="J8" i="3" s="1"/>
  <c r="R8" i="3" l="1"/>
  <c r="AD8" i="3" s="1"/>
  <c r="AF8" i="3" s="1"/>
  <c r="T8" i="3"/>
  <c r="E4" i="1"/>
  <c r="M4" i="1" s="1"/>
  <c r="O4" i="1" s="1"/>
  <c r="Q4" i="1" s="1"/>
  <c r="M3" i="1"/>
  <c r="O3" i="1" s="1"/>
  <c r="E3" i="1"/>
  <c r="W8" i="3" l="1"/>
  <c r="Z8" i="3" s="1"/>
  <c r="AB8" i="3" s="1"/>
  <c r="I10" i="17" s="1"/>
  <c r="N10" i="17" s="1"/>
  <c r="P10" i="17" s="1"/>
  <c r="S10" i="17" s="1"/>
  <c r="AG8" i="3"/>
  <c r="S8" i="3"/>
  <c r="O5" i="1"/>
  <c r="Q5" i="1" s="1"/>
  <c r="Q3" i="1"/>
  <c r="M5" i="1"/>
  <c r="AH8" i="3" l="1"/>
  <c r="AJ8" i="3"/>
  <c r="AM8" i="3" s="1"/>
  <c r="AA8" i="3"/>
  <c r="H10" i="17" s="1"/>
  <c r="M10" i="17" s="1"/>
  <c r="O10" i="17" s="1"/>
  <c r="R10" i="17" s="1"/>
  <c r="D2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A15" authorId="0" shapeId="0" xr:uid="{57947640-3244-4108-8BA3-0E262976AF7D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Ændret, så der ikke længere skelnes mellem biologisk og kemisk. Jf. mail fra Troels 24/4-2020</t>
        </r>
      </text>
    </comment>
    <comment ref="E15" authorId="0" shapeId="0" xr:uid="{ED40CFA1-8F36-48FF-9258-F91AD3EC28E4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F15" authorId="0" shapeId="0" xr:uid="{F7DFBFEF-9AFC-4DFD-83B6-AA2705F2C6CA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15" authorId="0" shapeId="0" xr:uid="{B64A44C4-2D6F-47E2-BDC2-AA95811A3153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
Ændret fra -5% (SEGES notat 20180018
Bent Ib Hansen) til 0% jf. mail fra Troels 24/4-2020</t>
        </r>
      </text>
    </comment>
    <comment ref="F16" authorId="0" shapeId="0" xr:uid="{DA6DB25D-FB94-4E9A-89C2-CBB6B39849F2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17" authorId="0" shapeId="0" xr:uid="{E08E6B87-15F8-4B5F-89B0-8D882A9F311E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24/4-2020. I stedet er  "cooling of slurry (to 8,6 degrees C) slettet</t>
        </r>
      </text>
    </comment>
    <comment ref="F17" authorId="0" shapeId="0" xr:uid="{B44E5B6C-06F4-436E-A2EE-B22D093673FC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17" authorId="0" shapeId="0" xr:uid="{FC5A8DFF-AD31-4B53-836B-10C0B26A8E6D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Heidi: Ændret fra 44% til 8 % jf. mail fra Troels 24/4-2020</t>
        </r>
      </text>
    </comment>
    <comment ref="A18" authorId="0" shapeId="0" xr:uid="{E8C69ECB-547D-44E5-96D1-670EDB52EBDD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18" authorId="0" shapeId="0" xr:uid="{98FFAD42-5ACE-4043-A2A6-3F044C6DC65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18" authorId="0" shapeId="0" xr:uid="{BFFDF224-6D8A-46B2-8AE4-619A921194E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19" authorId="0" shapeId="0" xr:uid="{8DE3073D-B873-4F2A-A487-385155E92C63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19" authorId="0" shapeId="0" xr:uid="{33DA847C-83DD-4D18-858B-98844E7D704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E20" authorId="0" shapeId="0" xr:uid="{9F9CEA04-DDF6-4650-9EF8-80C246288BC1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0" authorId="0" shapeId="0" xr:uid="{FF42CF49-0956-4EEF-B221-54C7F233F30B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E21" authorId="0" shapeId="0" xr:uid="{42452827-D70E-4DB4-BB5C-D5D6AB37DB7E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
</t>
        </r>
      </text>
    </comment>
    <comment ref="F21" authorId="0" shapeId="0" xr:uid="{9B54D9D7-CDE6-4ED7-B051-16D7376CBA32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1" authorId="0" shapeId="0" xr:uid="{B71DFCF8-3F24-473C-8869-3ED1000F038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Olesen et al., 2013
</t>
        </r>
      </text>
    </comment>
    <comment ref="E22" authorId="0" shapeId="0" xr:uid="{7F9B4C02-20D1-4D36-BA62-FD6AEFB7EFC0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</t>
        </r>
      </text>
    </comment>
    <comment ref="J22" authorId="0" shapeId="0" xr:uid="{BF94E3CE-CB27-4E2A-BCB6-27D2FC0960A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</t>
        </r>
      </text>
    </comment>
    <comment ref="J23" authorId="0" shapeId="0" xr:uid="{CC7DAEE4-D770-475C-B043-6C08CFCB7D1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Ændret fra -67 til -69 jf. mail Troels 24/4-2020</t>
        </r>
      </text>
    </comment>
    <comment ref="J24" authorId="0" shapeId="0" xr:uid="{BD79FFE2-58E8-420D-B84A-C58819D3F7E2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Værdien ændret jf. mail fra Troels 24/4-2020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  <author>Finn Udesen</author>
  </authors>
  <commentList>
    <comment ref="A10" authorId="0" shapeId="0" xr:uid="{28D45E44-0B38-4B3B-B24A-5672149C695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tekst ændret fra"Partly slatted floor and partly deep litter" til 
"Deep litter in the lying area"
</t>
        </r>
      </text>
    </comment>
    <comment ref="E11" authorId="0" shapeId="0" xr:uid="{F39600CD-F646-4F6D-9870-CA5E5C497DD4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1 or 7, depending if it is mixed or not
</t>
        </r>
      </text>
    </comment>
    <comment ref="J15" authorId="1" shapeId="0" xr:uid="{A4BA68B4-6DE1-4CFF-B2BA-DA4B5EF58BEA}">
      <text>
        <r>
          <rPr>
            <b/>
            <sz val="9"/>
            <color indexed="81"/>
            <rFont val="Tahoma"/>
            <family val="2"/>
          </rPr>
          <t>Finn Udesen:</t>
        </r>
        <r>
          <rPr>
            <sz val="9"/>
            <color indexed="81"/>
            <rFont val="Tahoma"/>
            <family val="2"/>
          </rPr>
          <t xml:space="preserve">
Beregtnet udfra 13,4 delvist fast gulv x 39% reduktion svarende til hypig udslusning
Brgrundelse der er tale om udendørsareal
</t>
        </r>
      </text>
    </comment>
    <comment ref="A18" authorId="0" shapeId="0" xr:uid="{E0ECC3A3-0E78-45D6-9BD7-7EC4796005AA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Ændret, så der ikke længere skelnes mellem biologisk og kemisk. Jf. mail fra Troels 24/4-2020</t>
        </r>
      </text>
    </comment>
    <comment ref="E18" authorId="0" shapeId="0" xr:uid="{2D614073-CD48-48F5-BDEE-466A7E9F3FF8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F18" authorId="0" shapeId="0" xr:uid="{4FC35328-17DA-45D1-B112-6DA2D2175650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19" authorId="0" shapeId="0" xr:uid="{090815BE-5CD9-4F0A-9AB5-586404DA6768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24/4-2020. I stedet er  "cooling of slurry (to 8,6 degrees C) slettet</t>
        </r>
      </text>
    </comment>
    <comment ref="F19" authorId="0" shapeId="0" xr:uid="{3D0DF1AC-94D7-44B9-8036-38AF8C6FBC2C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20" authorId="0" shapeId="0" xr:uid="{F68D42AB-6D4D-402A-906B-3018798C7927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20" authorId="0" shapeId="0" xr:uid="{C22244B6-42D8-4BD6-940F-8B7C30BE8840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0" authorId="0" shapeId="0" xr:uid="{AF897286-10CF-4F58-89F9-853F9A35C1F4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21" authorId="0" shapeId="0" xr:uid="{D50C8E26-7799-4325-9B84-CD53EFBAFDE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21" authorId="0" shapeId="0" xr:uid="{2984A751-D145-4C90-81D4-D7622C36591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E22" authorId="0" shapeId="0" xr:uid="{5F64AA0F-45E0-4CBC-A123-0FEB1B7321B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2" authorId="0" shapeId="0" xr:uid="{EC916DAF-BA9E-46D5-B612-117471AD3D9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E23" authorId="0" shapeId="0" xr:uid="{467E3541-DFE5-4890-B552-872D41405B6C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
</t>
        </r>
      </text>
    </comment>
    <comment ref="F23" authorId="0" shapeId="0" xr:uid="{E6EFB45C-0BA3-47D3-837A-A5A9AA7FDC79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3" authorId="0" shapeId="0" xr:uid="{C372A61A-F7F9-42CA-9A02-F291413F29D0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Olesen et al., 2013
</t>
        </r>
      </text>
    </comment>
    <comment ref="J24" authorId="0" shapeId="0" xr:uid="{D18D13B5-C236-4B99-9CC1-A4660E643403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</t>
        </r>
      </text>
    </comment>
    <comment ref="E34" authorId="1" shapeId="0" xr:uid="{060B98E5-F5AB-465B-AFF8-1D32139FD345}">
      <text>
        <r>
          <rPr>
            <b/>
            <sz val="9"/>
            <color indexed="81"/>
            <rFont val="Tahoma"/>
            <family val="2"/>
          </rPr>
          <t>Finn Udesen:</t>
        </r>
        <r>
          <rPr>
            <sz val="9"/>
            <color indexed="81"/>
            <rFont val="Tahoma"/>
            <family val="2"/>
          </rPr>
          <t xml:space="preserve">
Kommer fra beregningsformel hvor det er beregnet udfra normtal 2020
</t>
        </r>
      </text>
    </comment>
    <comment ref="A39" authorId="0" shapeId="0" xr:uid="{983D16BC-91A8-43A3-9217-C7569699C39E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tekst ændret fra"Partly slatted floor and partly deep litter" til 
"Deep litter in the lying area"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Finn Udesen</author>
    <author>Forfatter</author>
  </authors>
  <commentList>
    <comment ref="J23" authorId="0" shapeId="0" xr:uid="{063EDC1E-A080-4A61-BA05-3C7A07169379}">
      <text>
        <r>
          <rPr>
            <b/>
            <sz val="9"/>
            <color indexed="81"/>
            <rFont val="Tahoma"/>
            <family val="2"/>
          </rPr>
          <t>Finn Udesen:</t>
        </r>
        <r>
          <rPr>
            <sz val="9"/>
            <color indexed="81"/>
            <rFont val="Tahoma"/>
            <family val="2"/>
          </rPr>
          <t xml:space="preserve">
IPCC</t>
        </r>
      </text>
    </comment>
    <comment ref="J27" authorId="1" shapeId="0" xr:uid="{1AEAD559-77C1-44DE-9B12-05A4C25FE955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</t>
        </r>
      </text>
    </comment>
    <comment ref="E28" authorId="1" shapeId="0" xr:uid="{C8A71665-3555-443B-BB09-40FA43161C0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
</t>
        </r>
      </text>
    </comment>
    <comment ref="F28" authorId="1" shapeId="0" xr:uid="{BAE2BABA-B067-4324-95D9-6CBD72B53E9D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28" authorId="1" shapeId="0" xr:uid="{CFE21423-7E1C-4DFB-BE96-2C3B6893B85E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Olesen et al., 2013
</t>
        </r>
      </text>
    </comment>
    <comment ref="J29" authorId="1" shapeId="0" xr:uid="{C17F81D9-283A-4355-8F56-FA3A580CDC93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Mikkelsen et al., 2016
</t>
        </r>
      </text>
    </comment>
    <comment ref="E30" authorId="1" shapeId="0" xr:uid="{FFCF2205-503F-4030-B3E1-E93237AD15F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30" authorId="1" shapeId="0" xr:uid="{A2E99D17-DA21-493F-BBDF-2377EBD8C5DF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31" authorId="1" shapeId="0" xr:uid="{9E691848-57C8-4857-B00A-F716C2A7D186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31" authorId="1" shapeId="0" xr:uid="{0B7D75F2-682E-4D7B-AB4F-093392B81D8E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J31" authorId="1" shapeId="0" xr:uid="{3B78459C-EA08-4541-A9F6-BFEB8229C272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A32" authorId="1" shapeId="0" xr:uid="{B2539B33-BAAE-461C-8CD9-552B1C7E3603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Heidi: Ny, jf. mail fra Troels 24/4-2020</t>
        </r>
      </text>
    </comment>
    <comment ref="F32" authorId="1" shapeId="0" xr:uid="{13E78B6B-41D1-4D3F-9FC3-D3CDC6A8CE88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F33" authorId="1" shapeId="0" xr:uid="{73F57CA7-228D-45CD-838E-AE7111AC1CC6}">
      <text>
        <r>
          <rPr>
            <b/>
            <sz val="9"/>
            <color indexed="81"/>
            <rFont val="Tahoma"/>
            <family val="2"/>
          </rPr>
          <t>Forfatter:</t>
        </r>
        <r>
          <rPr>
            <sz val="9"/>
            <color indexed="81"/>
            <rFont val="Tahoma"/>
            <family val="2"/>
          </rPr>
          <t xml:space="preserve">
SEGES notat 20180018
Bent Ib Hansen</t>
        </r>
      </text>
    </comment>
    <comment ref="B39" authorId="0" shapeId="0" xr:uid="{D1D43FE5-72E3-47A5-B072-A20FD1ADE70A}">
      <text>
        <r>
          <rPr>
            <b/>
            <sz val="9"/>
            <color indexed="81"/>
            <rFont val="Tahoma"/>
            <family val="2"/>
          </rPr>
          <t>Finn Udesen:</t>
        </r>
        <r>
          <rPr>
            <sz val="9"/>
            <color indexed="81"/>
            <rFont val="Tahoma"/>
            <family val="2"/>
          </rPr>
          <t xml:space="preserve">
Kommer fra beregningsformel hvor det er beregnet udfra normtal 2020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Leegaard Riis</author>
  </authors>
  <commentList>
    <comment ref="F15" authorId="0" shapeId="0" xr:uid="{915F1318-EAD6-4FBA-8424-8E9CCC9A74D3}">
      <text>
        <r>
          <rPr>
            <b/>
            <sz val="9"/>
            <color indexed="81"/>
            <rFont val="Tahoma"/>
            <family val="2"/>
          </rPr>
          <t>Anders Leegaard Riis:</t>
        </r>
        <r>
          <rPr>
            <sz val="9"/>
            <color indexed="81"/>
            <rFont val="Tahoma"/>
            <family val="2"/>
          </rPr>
          <t xml:space="preserve">
Reelt set lavere hvis hele luftrenseren kapacitet udnyttes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Finn Udesen</author>
  </authors>
  <commentList>
    <comment ref="E102" authorId="0" shapeId="0" xr:uid="{798A9BDA-47F4-40B1-B62A-B8C52706501F}">
      <text>
        <r>
          <rPr>
            <b/>
            <sz val="9"/>
            <color indexed="81"/>
            <rFont val="Tahoma"/>
            <family val="2"/>
          </rPr>
          <t>Finn Udesen:</t>
        </r>
        <r>
          <rPr>
            <sz val="9"/>
            <color indexed="81"/>
            <rFont val="Tahoma"/>
            <family val="2"/>
          </rPr>
          <t xml:space="preserve">
MeddelelseNr. 588
6. marts 2003
</t>
        </r>
      </text>
    </comment>
  </commentList>
</comments>
</file>

<file path=xl/sharedStrings.xml><?xml version="1.0" encoding="utf-8"?>
<sst xmlns="http://schemas.openxmlformats.org/spreadsheetml/2006/main" count="932" uniqueCount="501">
  <si>
    <t>Tørstof</t>
  </si>
  <si>
    <t>MFV</t>
  </si>
  <si>
    <t>Bo</t>
  </si>
  <si>
    <t>kg/m3 CH4</t>
  </si>
  <si>
    <t>kg gylle/gris</t>
  </si>
  <si>
    <t>VS faktor</t>
  </si>
  <si>
    <t>Metan fra stald</t>
  </si>
  <si>
    <t>Metan fra lager</t>
  </si>
  <si>
    <t>Produktionsdage</t>
  </si>
  <si>
    <t>Kg gylle per dag</t>
  </si>
  <si>
    <t>Dage gyllen er i stalden</t>
  </si>
  <si>
    <t>Kilder:</t>
  </si>
  <si>
    <t>Metan/CO2e i alt</t>
  </si>
  <si>
    <t>kg brutto metan</t>
  </si>
  <si>
    <t>kg netto metan</t>
  </si>
  <si>
    <t>Metan faktor</t>
  </si>
  <si>
    <t>Gødningsregnskab</t>
  </si>
  <si>
    <t>IPCC</t>
  </si>
  <si>
    <t>DCE</t>
  </si>
  <si>
    <t>Antal grise</t>
  </si>
  <si>
    <t>E-kontrol/bedriften/Gødningsregnskabet</t>
  </si>
  <si>
    <t>Virkemiddel reduktions faktor</t>
  </si>
  <si>
    <t>Når der ikke er noget virkemiddel anvendes tallet 1, Reduktionsfaktor på feks 0,5 betyder at metan reduceres med 50%</t>
  </si>
  <si>
    <t>Virkemid-del reduktions faktor</t>
  </si>
  <si>
    <t>Gødningsregnskab 365 dage /grise prod. Per år/stiplads</t>
  </si>
  <si>
    <t>Ind vægt, kg</t>
  </si>
  <si>
    <t>Slagtevægt, kg</t>
  </si>
  <si>
    <t>Tilvækst, kg</t>
  </si>
  <si>
    <t>FEsv per kg tilvækst</t>
  </si>
  <si>
    <t>Fra råprotein til N</t>
  </si>
  <si>
    <t>Levendevægt kg Faktor 1,31</t>
  </si>
  <si>
    <t>G råprotein per FEsv</t>
  </si>
  <si>
    <t>Fordøjelig N ab dyr, Fordøjeligheds tal 81%</t>
  </si>
  <si>
    <t>N ab dyr per kg tilvækst</t>
  </si>
  <si>
    <t>Heraf organisk N</t>
  </si>
  <si>
    <t>Fordfampning  kg N per svin stald</t>
  </si>
  <si>
    <t>N ab stald per svin</t>
  </si>
  <si>
    <t>Gulvtype</t>
  </si>
  <si>
    <t>Fordampning fra lager</t>
  </si>
  <si>
    <t>TAN per gris ab stald</t>
  </si>
  <si>
    <t>N ab lager per gris</t>
  </si>
  <si>
    <t>Reduktionsfaktor fra miljøteknologi</t>
  </si>
  <si>
    <t>Reduktionsfaktor ved forsuring</t>
  </si>
  <si>
    <t>Fordfampning  kg N per svin stald efter reduktion af miljøteknologi</t>
  </si>
  <si>
    <t>Drænet gulv + spalter (33/67)</t>
  </si>
  <si>
    <t>Gødningstype</t>
  </si>
  <si>
    <t>Gylle</t>
  </si>
  <si>
    <t>Dybstrøelse</t>
  </si>
  <si>
    <t>Strøelse per gris, kg</t>
  </si>
  <si>
    <t>N fra halmstrøelse, per gris</t>
  </si>
  <si>
    <t>MJ per FE</t>
  </si>
  <si>
    <t>Slagtesvin</t>
  </si>
  <si>
    <t>Smågrise</t>
  </si>
  <si>
    <t>Søer</t>
  </si>
  <si>
    <t>Ym%</t>
  </si>
  <si>
    <t>ym</t>
  </si>
  <si>
    <t xml:space="preserve">tabel 5,8 </t>
  </si>
  <si>
    <t>Tabel 5.6</t>
  </si>
  <si>
    <t>slagtesvin</t>
  </si>
  <si>
    <t>x faktor</t>
  </si>
  <si>
    <t>Metan kg</t>
  </si>
  <si>
    <t>FE per gris</t>
  </si>
  <si>
    <t>National Inventory 2020</t>
  </si>
  <si>
    <t>55.56 = energy content of CH4, MJ per CH4</t>
  </si>
  <si>
    <t>Deles med x faktore</t>
  </si>
  <si>
    <t>side 381</t>
  </si>
  <si>
    <t>Levende-vægt kg Faktor 1,31</t>
  </si>
  <si>
    <t>MJ/Foderenhed</t>
  </si>
  <si>
    <t xml:space="preserve">Enterisk metan hos grise. Data kan tages fra NORMtal 2020 eller fra indberetnig fra bedriften </t>
  </si>
  <si>
    <t>Dyrgruppe</t>
  </si>
  <si>
    <t xml:space="preserve">Enterisk metan: Kilder til standar tal kommer fra </t>
  </si>
  <si>
    <t>Delvis spaltegulv med 50-75% fast gulv</t>
  </si>
  <si>
    <t>Delvis spaltegulv med 25-49% fast gulv</t>
  </si>
  <si>
    <t>Fast gulv</t>
  </si>
  <si>
    <t>Dybstrøelse, opdelt</t>
  </si>
  <si>
    <t>lejeareal</t>
  </si>
  <si>
    <r>
      <t xml:space="preserve">Individuel </t>
    </r>
    <r>
      <rPr>
        <b/>
        <sz val="10"/>
        <color rgb="FF000000"/>
        <rFont val="Times New Roman"/>
        <family val="1"/>
      </rPr>
      <t>opstaldning, delvis spaltegulv</t>
    </r>
  </si>
  <si>
    <t>Individuel opstaldning,</t>
  </si>
  <si>
    <t>Staldgødning</t>
  </si>
  <si>
    <t>fast gulv</t>
  </si>
  <si>
    <t>Ajle</t>
  </si>
  <si>
    <t>Løsgående, dybstrøelse +</t>
  </si>
  <si>
    <t>spaltegulv</t>
  </si>
  <si>
    <t>Løsgående, dybstrøelse</t>
  </si>
  <si>
    <t>Løsgående, delvis spaltegulv</t>
  </si>
  <si>
    <t>Kassestier, delvis spalte- gulv</t>
  </si>
  <si>
    <t>Kassestier, fuldspaltegulv</t>
  </si>
  <si>
    <t>Friland, fareperiode</t>
  </si>
  <si>
    <r>
      <t>Anden husdyr- gødning</t>
    </r>
    <r>
      <rPr>
        <b/>
        <vertAlign val="superscript"/>
        <sz val="10"/>
        <color rgb="FF000000"/>
        <rFont val="Times New Roman"/>
        <family val="1"/>
      </rPr>
      <t>1</t>
    </r>
  </si>
  <si>
    <t>Toklimastald, delvis spaltegulv</t>
  </si>
  <si>
    <t>Drænet gulv + spalter</t>
  </si>
  <si>
    <t>(50/50)</t>
  </si>
  <si>
    <t>Foderenheder per gris</t>
  </si>
  <si>
    <t>Ton gødning/gylle per gris</t>
  </si>
  <si>
    <t>Tørstof,%</t>
  </si>
  <si>
    <t>G råprotein per foderenhed</t>
  </si>
  <si>
    <t>Fordøjelighed, råprotein%</t>
  </si>
  <si>
    <t>G N  i slgtekroppen per kg tilvækst</t>
  </si>
  <si>
    <t>Kg N ab dyr inkl bidrag fra halm</t>
  </si>
  <si>
    <t xml:space="preserve">Heraf kg TAN </t>
  </si>
  <si>
    <t>Konventionel farestald-30% af foderet</t>
  </si>
  <si>
    <t>Løbe- og drægtighedsstald-70% af fodret</t>
  </si>
  <si>
    <t>Tilvækst per gris</t>
  </si>
  <si>
    <t>% af fodret</t>
  </si>
  <si>
    <t>kg N i grisen per kg tilvækst</t>
  </si>
  <si>
    <t>Udendørs</t>
  </si>
  <si>
    <t>Delvis spaltegulv inde. Løbegård med fast/drænet gulv + spal-</t>
  </si>
  <si>
    <t>tegulv (50%/50%)</t>
  </si>
  <si>
    <t>Dybstrøelse hele arealet inde. Løbegård med fast/drænet gulv + spal- tegulv (50%/50%)</t>
  </si>
  <si>
    <t>Konventionelle årsso 33,2 frav grise 6,7 kg fravænningsvægt</t>
  </si>
  <si>
    <t>Økologisk slagtesvin, 31-113 kg</t>
  </si>
  <si>
    <t>Konventionelle slagtesvin 31-113 kg</t>
  </si>
  <si>
    <t xml:space="preserve"> konventional smågris 7,6-31 kg</t>
  </si>
  <si>
    <t>Dybstrøelse hele arealet inde. Løbegård med</t>
  </si>
  <si>
    <t>fast/drænet gulv + spal- tegulv (50%/50%)</t>
  </si>
  <si>
    <t>Delvis spaltegulv inde. Løbegård med fast/drænet gulv + spal- tegulv (50%/50%)</t>
  </si>
  <si>
    <t>1 økologisk smågris, 15 - 31 kg</t>
  </si>
  <si>
    <t>1 økologisk årsso med 23,4 grise til 15,0 kg</t>
  </si>
  <si>
    <t>Faremark, inkl grise til 15 kg</t>
  </si>
  <si>
    <t>Dybstrøelse hele arealet in- de. Løbegård med</t>
  </si>
  <si>
    <t>fast/drænet gulv + spaltegulv (50%/50%)</t>
  </si>
  <si>
    <t>Løbe/drægtighed, udendørs</t>
  </si>
  <si>
    <t>Anden husdyr-</t>
  </si>
  <si>
    <r>
      <t>gødning</t>
    </r>
    <r>
      <rPr>
        <b/>
        <vertAlign val="superscript"/>
        <sz val="10"/>
        <color rgb="FF000000"/>
        <rFont val="Times New Roman"/>
        <family val="1"/>
      </rPr>
      <t>1</t>
    </r>
  </si>
  <si>
    <t>Delvis spaltegulv inde. Lø- begård med fast/drænet gulv</t>
  </si>
  <si>
    <t>+ spaltegulv (50%/50%)</t>
  </si>
  <si>
    <t>N2O, % of N</t>
  </si>
  <si>
    <t>NH3, % of TAN</t>
  </si>
  <si>
    <t>NOx, % of N</t>
  </si>
  <si>
    <t>N2, % of N</t>
  </si>
  <si>
    <t>MCF CH4, %</t>
  </si>
  <si>
    <t>(Normtal, 2017)</t>
  </si>
  <si>
    <t>(IPCC, 2006)</t>
  </si>
  <si>
    <t>(Dammgen &amp; Hutchings, 2008)</t>
  </si>
  <si>
    <t>(Vinther, 2005)</t>
  </si>
  <si>
    <t>Fully slatted floor</t>
  </si>
  <si>
    <t>Individual housing (gestation) - fully slatted floor</t>
  </si>
  <si>
    <t>daily removal of slurry</t>
  </si>
  <si>
    <t>Nox% af N</t>
  </si>
  <si>
    <t>MCF H4%</t>
  </si>
  <si>
    <t>Luftrensning (100%)</t>
  </si>
  <si>
    <t>Luftrensning (20%)</t>
  </si>
  <si>
    <t>Gyllekøling, 10 kWh/m2</t>
  </si>
  <si>
    <t>Gyllekøling + luftrensning (100%)</t>
  </si>
  <si>
    <t>Gyllekøling + luftrensning (20%)</t>
  </si>
  <si>
    <t>Hyppig udslusning min en gang ugentlig</t>
  </si>
  <si>
    <t>Gylleforsuring stald</t>
  </si>
  <si>
    <t>Gylle til biogas</t>
  </si>
  <si>
    <t>Gyllekøling+ gylle til  biogas</t>
  </si>
  <si>
    <t>Hyppig udslusning + leveret til biogas</t>
  </si>
  <si>
    <t>Drænet gulv + spalter 50/50</t>
  </si>
  <si>
    <t>Punktudsugning</t>
  </si>
  <si>
    <t>Individuel opstaldning, delvis spaltegulv</t>
  </si>
  <si>
    <t>Løsgående, dybstrøelse-spaltegulv</t>
  </si>
  <si>
    <t>Løsgående-dybstrøelse</t>
  </si>
  <si>
    <t>Kg NH3-n per kg TAN ab dyr</t>
  </si>
  <si>
    <t>Kg NH3-n per kg N ab dyr</t>
  </si>
  <si>
    <t>Direkte N20 tab</t>
  </si>
  <si>
    <t>Indirekte N20 tab</t>
  </si>
  <si>
    <t>CO2e faktor</t>
  </si>
  <si>
    <t>Virkemidler</t>
  </si>
  <si>
    <t>Dybstrøelse, opdelt lejeareal Urin/fast gødning</t>
  </si>
  <si>
    <t>Annex 3D - Agriculture</t>
  </si>
  <si>
    <t>Virkemiddel-reduktionsfaktor</t>
  </si>
  <si>
    <t>kg CO2e før virkemiddel</t>
  </si>
  <si>
    <t>kg CO2e netto efter virkemiddel</t>
  </si>
  <si>
    <t>Svin-metanemission fra stald og lager per slagtesvin</t>
  </si>
  <si>
    <t>Antal produceede slagtesvin</t>
  </si>
  <si>
    <t>Fast gulv Urin/fast gødning</t>
  </si>
  <si>
    <t>kg N i soen/Kg N per kg tilvækst pattegrisen</t>
  </si>
  <si>
    <t>kg N i soen Kg N per kg tilvækst pattegrisen</t>
  </si>
  <si>
    <t>1,98/0,02567</t>
  </si>
  <si>
    <t>Beregnet udfra referencenormtal</t>
  </si>
  <si>
    <t>Kilde: Delvist uddrag af Technical report BCE-12 , 2017</t>
  </si>
  <si>
    <t>Produktionsareal/ stiplads</t>
  </si>
  <si>
    <t>Økologisk produktion</t>
  </si>
  <si>
    <t>Prod grise per stiplads</t>
  </si>
  <si>
    <t>Nedenstående beregninger kan enten beregnes på basis af standartal fra grundlaget for gødningsregnskab eller der kan indtastes bedriftsdata</t>
  </si>
  <si>
    <t>Afgangsvægt, kg</t>
  </si>
  <si>
    <t>N fra halmstrøelse, per gris (0,0033)</t>
  </si>
  <si>
    <t>Udendørs gødeområde</t>
  </si>
  <si>
    <t>Linespil daglig udtræk af gødning</t>
  </si>
  <si>
    <t>Løsgående i faresti -delvist spaltegulv</t>
  </si>
  <si>
    <t>Boks i faresti-delvist spaltegulv</t>
  </si>
  <si>
    <t>Boks i faresti - fuldspaltegulv</t>
  </si>
  <si>
    <t>Økologisk-Delvis spaltegulv inde. Løbegård med fast/drænet gulv + spal-</t>
  </si>
  <si>
    <t>Dybstrøelse/fast gødning</t>
  </si>
  <si>
    <t>flydende gødnings andel af total gødning</t>
  </si>
  <si>
    <t>Beregning af emisionskoefficent - slagtesvin</t>
  </si>
  <si>
    <t>Beregning af emisionskoefficent - smågrise</t>
  </si>
  <si>
    <t>Flydende andel af gødningen</t>
  </si>
  <si>
    <t>Flydende andel af gødningen, %</t>
  </si>
  <si>
    <t>Delvis spaltegulv inde. Løbegård med fast/drænet gulv + spaltegulv (50%/50%)</t>
  </si>
  <si>
    <t>Dybstrøelse hele arealet inde. Løbegård med fast/drænet gulv + spaltegulv (50%/50%)</t>
  </si>
  <si>
    <t>Staldtype</t>
  </si>
  <si>
    <t>Dybstrøelse hele arealet inde. Løbegård med fast/drænet gulv + spaltegulv</t>
  </si>
  <si>
    <t>Friland farestier inkl grise til 15 kg</t>
  </si>
  <si>
    <t>Løbe- drægtighedsstalde</t>
  </si>
  <si>
    <t>Farestalde</t>
  </si>
  <si>
    <t>Økologisk Løbe- drægtighedsstalde</t>
  </si>
  <si>
    <t>Friland farestier inkl grise til 15 kg (økologi)</t>
  </si>
  <si>
    <t>Friland farestier inkl grise til fravænning</t>
  </si>
  <si>
    <t>Kilde: NORMTAL-2020</t>
  </si>
  <si>
    <t>Salgtesvin-konventionelle</t>
  </si>
  <si>
    <t>Smågrise-konventionelle</t>
  </si>
  <si>
    <t>Søer-konventionelle</t>
  </si>
  <si>
    <t>Friland- økologi, farehytte</t>
  </si>
  <si>
    <t>Friland -konventionel</t>
  </si>
  <si>
    <t>Swine</t>
  </si>
  <si>
    <t>Deep litter + solid floor</t>
  </si>
  <si>
    <t>Slurry</t>
  </si>
  <si>
    <t>National estimation</t>
  </si>
  <si>
    <t>Deep bedding sows</t>
  </si>
  <si>
    <t>Average of 6 and 7*</t>
  </si>
  <si>
    <t>Deep litter + slatted floor</t>
  </si>
  <si>
    <t>Deep litter, sows</t>
  </si>
  <si>
    <t>Deep litter, weaners</t>
  </si>
  <si>
    <t>Deep bedding weaners</t>
  </si>
  <si>
    <t>Deep litter, fattening pigs</t>
  </si>
  <si>
    <t>Deep bedding fattening pigs</t>
  </si>
  <si>
    <t>Individual housing, partly slatted floor</t>
  </si>
  <si>
    <t>Individual housing, fully slatted floor</t>
  </si>
  <si>
    <t>Individual housing, solid floor</t>
  </si>
  <si>
    <t>Liquid</t>
  </si>
  <si>
    <t>Solid</t>
  </si>
  <si>
    <t>Loose housing, partly slatted floor</t>
  </si>
  <si>
    <t>Loose housing, solid floor</t>
  </si>
  <si>
    <t>Outdoor sows (percent of all sows and periods)</t>
  </si>
  <si>
    <t>Pasture</t>
  </si>
  <si>
    <t>Partly slatted floor</t>
  </si>
  <si>
    <t>Solid floor</t>
  </si>
  <si>
    <t>Partly slatted floor and partly deep litter</t>
  </si>
  <si>
    <t>Partly slatted and drained floor</t>
  </si>
  <si>
    <t>Biogas</t>
  </si>
  <si>
    <t>IPCC / National estimation</t>
  </si>
  <si>
    <t>Annex 3D - Agriculture-Table 3D-16 MCF for liquid manure</t>
  </si>
  <si>
    <t>Swine - untreated liquid manure</t>
  </si>
  <si>
    <t>Swine - biogas treated liquid manure</t>
  </si>
  <si>
    <t>Annex 3D-15/2020 Table 3D-15 National manure management system and MCF vs. IPCC manure management system and MCF, 2018</t>
  </si>
  <si>
    <t>MCF</t>
  </si>
  <si>
    <t xml:space="preserve">Gødningsopbevaring – ammoniakemission </t>
  </si>
  <si>
    <r>
      <t>Kg NH</t>
    </r>
    <r>
      <rPr>
        <b/>
        <vertAlign val="subscript"/>
        <sz val="9"/>
        <color rgb="FF000000"/>
        <rFont val="Arial"/>
        <family val="2"/>
      </rPr>
      <t>3</t>
    </r>
    <r>
      <rPr>
        <b/>
        <sz val="9"/>
        <color rgb="FF000000"/>
        <rFont val="Arial"/>
        <family val="2"/>
      </rPr>
      <t>-N/m</t>
    </r>
    <r>
      <rPr>
        <b/>
        <vertAlign val="superscript"/>
        <sz val="9"/>
        <color rgb="FF000000"/>
        <rFont val="Arial"/>
        <family val="2"/>
      </rPr>
      <t>2</t>
    </r>
    <r>
      <rPr>
        <b/>
        <sz val="9"/>
        <color rgb="FF000000"/>
        <rFont val="Arial"/>
        <family val="2"/>
      </rPr>
      <t>/år</t>
    </r>
  </si>
  <si>
    <r>
      <t>Gyllebeholder – med alm. flydelag (per m</t>
    </r>
    <r>
      <rPr>
        <vertAlign val="superscript"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overflade)</t>
    </r>
  </si>
  <si>
    <r>
      <t>Gyllebeholder – med telt-/anden fast overdækning (per m</t>
    </r>
    <r>
      <rPr>
        <vertAlign val="superscript"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overflade)</t>
    </r>
  </si>
  <si>
    <r>
      <t>Fast staldgødning, svin (per m</t>
    </r>
    <r>
      <rPr>
        <vertAlign val="superscript"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grundflade)</t>
    </r>
  </si>
  <si>
    <r>
      <t>Dybstrøelse, svin, svin (per m</t>
    </r>
    <r>
      <rPr>
        <vertAlign val="superscript"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grundflade)</t>
    </r>
  </si>
  <si>
    <t>(Hansen et al., 2008)</t>
  </si>
  <si>
    <t>NH3, % of N</t>
  </si>
  <si>
    <t xml:space="preserve"> Ubehandlet gylle</t>
  </si>
  <si>
    <t>Gyllelager</t>
  </si>
  <si>
    <t>Flydelag</t>
  </si>
  <si>
    <t>Ingen flydelag</t>
  </si>
  <si>
    <t>Teltoverdækning</t>
  </si>
  <si>
    <t>Gylle fra biogas</t>
  </si>
  <si>
    <t>Forsuret gylle</t>
  </si>
  <si>
    <t>Fast gødning</t>
  </si>
  <si>
    <t>Ikke overdækket</t>
  </si>
  <si>
    <t>Overdækket</t>
  </si>
  <si>
    <t>Kilder</t>
  </si>
  <si>
    <t>NORMTAL</t>
  </si>
  <si>
    <t>NORMTAL-bedrift</t>
  </si>
  <si>
    <t>Normtal-bedsrift</t>
  </si>
  <si>
    <t>NORMTAL-Bedrift</t>
  </si>
  <si>
    <t>Normtal-bedrift</t>
  </si>
  <si>
    <t>Standar</t>
  </si>
  <si>
    <t>g N  i slgtekroppen per kg tilvækst</t>
  </si>
  <si>
    <t>Formel</t>
  </si>
  <si>
    <t>Emissionsfaktor række 2</t>
  </si>
  <si>
    <t>Ingen teknologi</t>
  </si>
  <si>
    <t>Ingen virkemiddel</t>
  </si>
  <si>
    <t>Fordampning</t>
  </si>
  <si>
    <t>Direkte</t>
  </si>
  <si>
    <t>Indirekte</t>
  </si>
  <si>
    <t>Emissionsfaktor grise række 3</t>
  </si>
  <si>
    <t>Amoniak fordampning stald , % NH3-n per kg TAN ab dyr</t>
  </si>
  <si>
    <t>Milæjøteknologi, vælg</t>
  </si>
  <si>
    <t>Reduktionsfaktor ved valgtemiljøteknologi, række 3</t>
  </si>
  <si>
    <t>Miljøteknologi- vælg</t>
  </si>
  <si>
    <t>ab dyr</t>
  </si>
  <si>
    <t>formel</t>
  </si>
  <si>
    <t>Direkte N20 tab fra stald</t>
  </si>
  <si>
    <t>PORK motoren</t>
  </si>
  <si>
    <t>Kilde</t>
  </si>
  <si>
    <t>Formler til beregning af N2O fra stald</t>
  </si>
  <si>
    <t>Standard fra NORMTal</t>
  </si>
  <si>
    <t>Fordampning  kg NH3-N per svin stald</t>
  </si>
  <si>
    <t>Bedriftoplysning</t>
  </si>
  <si>
    <t xml:space="preserve">CHR no. </t>
  </si>
  <si>
    <t>Antal dyr</t>
  </si>
  <si>
    <t>CHR no.</t>
  </si>
  <si>
    <t>Direkte emissionsfaktor for N2O</t>
  </si>
  <si>
    <t>Direkte CO2e fra stald</t>
  </si>
  <si>
    <t>Indirekte CO2e fra stalden</t>
  </si>
  <si>
    <t>stald</t>
  </si>
  <si>
    <t>Indirekte N2O tab fra stalden</t>
  </si>
  <si>
    <t>Overdækningstype</t>
  </si>
  <si>
    <t>Indirekte emissionsfaktor % af TAN</t>
  </si>
  <si>
    <t>Direkte N2O fra lager</t>
  </si>
  <si>
    <t>Indirekte N2O fra lager</t>
  </si>
  <si>
    <t>Ingen</t>
  </si>
  <si>
    <t>t CO2e direkte emissionen fra stalden</t>
  </si>
  <si>
    <t>t CO2e indirekte emissionen fra stalden</t>
  </si>
  <si>
    <t>Direkte CO2e fra lager per gris</t>
  </si>
  <si>
    <t>Indirekte O2e fra lagerN20 tab fra lager per gris</t>
  </si>
  <si>
    <t>Direkte CO2e tab fra stalden per dyr</t>
  </si>
  <si>
    <t>Indirekte CO2e tab fra stalden per dyr</t>
  </si>
  <si>
    <t xml:space="preserve">CVR No </t>
  </si>
  <si>
    <t>Dybstrøelse til biogas</t>
  </si>
  <si>
    <t>Dyb strøelse direkte til mark</t>
  </si>
  <si>
    <t>Dybstrøelse hele arealet</t>
  </si>
  <si>
    <t>Emission , kg NH3-N per m2</t>
  </si>
  <si>
    <t>Standar TAN ab gris</t>
  </si>
  <si>
    <t>Direkte N2, % af N</t>
  </si>
  <si>
    <t>Indirekte N2O emission af  NH3, % of TAN</t>
  </si>
  <si>
    <t>Stalden-direkte N2, % of N i gyllen</t>
  </si>
  <si>
    <t>Lager-direkte emission N2, % of N i gyllen</t>
  </si>
  <si>
    <t>Direkte N2O emission, % af N</t>
  </si>
  <si>
    <t>Direkte kg N20 tab fra lager</t>
  </si>
  <si>
    <t>Stald+Lager Metan faktorMCF CH4, %</t>
  </si>
  <si>
    <t>Fast gulv Urin/fast gødning/linespil</t>
  </si>
  <si>
    <t>Stald-direkte N2 % af N</t>
  </si>
  <si>
    <t>Stald indirekte N2 emission NH3 % af TAN</t>
  </si>
  <si>
    <t>I husdyrbekendtgørelsen er emissionerne opgivet i kg NH3-N per m2 overflade</t>
  </si>
  <si>
    <t>Ingen overdækning</t>
  </si>
  <si>
    <t>Indirekte emission kg CH3-N per m2 overflade</t>
  </si>
  <si>
    <t>Da der mangler emissionsfaktorer for behandlet gylle anvendes emisionsfaktorerne fra PORK motoren i stedet for faktorer per m2 overflade</t>
  </si>
  <si>
    <t>Stalden indirekte N2O emission af  NH3-N, % of TAN</t>
  </si>
  <si>
    <t>Normtal</t>
  </si>
  <si>
    <t>Økologiske slagtesvinestalde</t>
  </si>
  <si>
    <t>Annex 3D - Agriculture tabel 3D-15</t>
  </si>
  <si>
    <t>Bekendtgørelse om godkendelse og tilladelse m.v. af husdyrbrug1</t>
  </si>
  <si>
    <r>
      <t>Tabel 1.</t>
    </r>
    <r>
      <rPr>
        <i/>
        <sz val="9"/>
        <color rgb="FF000000"/>
        <rFont val="Arial"/>
        <family val="2"/>
      </rPr>
      <t xml:space="preserve"> Anvendte ammoniak emissionsfaktorer for forskellige staldtyper til svin før miljøteknologi</t>
    </r>
  </si>
  <si>
    <t>Kategori og staldtype</t>
  </si>
  <si>
    <r>
      <t>Produktionsareal, m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/dyr</t>
    </r>
  </si>
  <si>
    <t>Producerede,</t>
  </si>
  <si>
    <t>per stipl./år</t>
  </si>
  <si>
    <r>
      <t>Emissionsfaktor stald (kg NH</t>
    </r>
    <r>
      <rPr>
        <vertAlign val="subscript"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>-N/m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/år) </t>
    </r>
    <r>
      <rPr>
        <vertAlign val="superscript"/>
        <sz val="8"/>
        <color rgb="FF000000"/>
        <rFont val="Arial"/>
        <family val="2"/>
      </rPr>
      <t>c</t>
    </r>
  </si>
  <si>
    <t>Emission/stipl. ex lager</t>
  </si>
  <si>
    <r>
      <t>(kg NH</t>
    </r>
    <r>
      <rPr>
        <vertAlign val="subscript"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>-N/stipl./år)</t>
    </r>
  </si>
  <si>
    <t>Diegivende søer</t>
  </si>
  <si>
    <t>Kassestier, delvis spaltegulv</t>
  </si>
  <si>
    <r>
      <t xml:space="preserve">1,09 </t>
    </r>
    <r>
      <rPr>
        <vertAlign val="superscript"/>
        <sz val="8"/>
        <color rgb="FF000000"/>
        <rFont val="Arial"/>
        <family val="2"/>
      </rPr>
      <t>a</t>
    </r>
  </si>
  <si>
    <r>
      <t xml:space="preserve">0,719 </t>
    </r>
    <r>
      <rPr>
        <vertAlign val="superscript"/>
        <sz val="8"/>
        <color rgb="FF000000"/>
        <rFont val="Arial"/>
        <family val="2"/>
      </rPr>
      <t>d</t>
    </r>
  </si>
  <si>
    <r>
      <t xml:space="preserve">1,450 </t>
    </r>
    <r>
      <rPr>
        <vertAlign val="superscript"/>
        <sz val="8"/>
        <color rgb="FF000000"/>
        <rFont val="Arial"/>
        <family val="2"/>
      </rPr>
      <t>d</t>
    </r>
  </si>
  <si>
    <t>Golde og drægtige søer</t>
  </si>
  <si>
    <t>Enkeltdyrsboks, fuldspaltegulv</t>
  </si>
  <si>
    <r>
      <t xml:space="preserve">1,25 </t>
    </r>
    <r>
      <rPr>
        <vertAlign val="superscript"/>
        <sz val="8"/>
        <color rgb="FF000000"/>
        <rFont val="Arial"/>
        <family val="2"/>
      </rPr>
      <t>a</t>
    </r>
  </si>
  <si>
    <r>
      <t xml:space="preserve">2,500 </t>
    </r>
    <r>
      <rPr>
        <vertAlign val="superscript"/>
        <sz val="8"/>
        <color rgb="FF000000"/>
        <rFont val="Arial"/>
        <family val="2"/>
      </rPr>
      <t>d</t>
    </r>
  </si>
  <si>
    <t>Enkeltdyrsboks, delvis spaltegulv</t>
  </si>
  <si>
    <r>
      <t xml:space="preserve">1,625 </t>
    </r>
    <r>
      <rPr>
        <vertAlign val="superscript"/>
        <sz val="8"/>
        <color rgb="FF000000"/>
        <rFont val="Arial"/>
        <family val="2"/>
      </rPr>
      <t>d</t>
    </r>
  </si>
  <si>
    <t>Enkeltdyrsboks, fast gulv</t>
  </si>
  <si>
    <t>Løsg., dybstrøelse + spaltegulv</t>
  </si>
  <si>
    <r>
      <t xml:space="preserve">1,75 </t>
    </r>
    <r>
      <rPr>
        <vertAlign val="superscript"/>
        <sz val="8"/>
        <color rgb="FF000000"/>
        <rFont val="Arial"/>
        <family val="2"/>
      </rPr>
      <t>a</t>
    </r>
  </si>
  <si>
    <r>
      <t xml:space="preserve">2,456 </t>
    </r>
    <r>
      <rPr>
        <vertAlign val="superscript"/>
        <sz val="8"/>
        <color rgb="FF000000"/>
        <rFont val="Arial"/>
        <family val="2"/>
      </rPr>
      <t>d</t>
    </r>
  </si>
  <si>
    <t>Løsg., dybstrøelse + fast gulv</t>
  </si>
  <si>
    <t>Løsgående, dybstrøelse, hele areal</t>
  </si>
  <si>
    <r>
      <t xml:space="preserve">2,105 </t>
    </r>
    <r>
      <rPr>
        <vertAlign val="superscript"/>
        <sz val="8"/>
        <color rgb="FF000000"/>
        <rFont val="Arial"/>
        <family val="2"/>
      </rPr>
      <t>d</t>
    </r>
  </si>
  <si>
    <t>Delvis spaltegulv, 25-49% fast gulv</t>
  </si>
  <si>
    <r>
      <t xml:space="preserve">3,76 </t>
    </r>
    <r>
      <rPr>
        <vertAlign val="superscript"/>
        <sz val="8"/>
        <color rgb="FF000000"/>
        <rFont val="Arial"/>
        <family val="2"/>
      </rPr>
      <t>b</t>
    </r>
  </si>
  <si>
    <t>Delvis spaltegulv, 50-75% fast gulv</t>
  </si>
  <si>
    <t>Fast gulv, hele arealet</t>
  </si>
  <si>
    <t>Dybstrøelse, opdelt leje</t>
  </si>
  <si>
    <t>Dybstrøelse, hele arealet</t>
  </si>
  <si>
    <r>
      <t xml:space="preserve">Slagtesvin: </t>
    </r>
    <r>
      <rPr>
        <sz val="8"/>
        <color rgb="FF000000"/>
        <rFont val="Arial"/>
        <family val="2"/>
      </rPr>
      <t>Økologisk produktion</t>
    </r>
  </si>
  <si>
    <t xml:space="preserve">Smågrise </t>
  </si>
  <si>
    <t>Drænet gulv + spalter (50/50)</t>
  </si>
  <si>
    <r>
      <t xml:space="preserve">6,00 </t>
    </r>
    <r>
      <rPr>
        <vertAlign val="superscript"/>
        <sz val="8"/>
        <color rgb="FF000000"/>
        <rFont val="Arial"/>
        <family val="2"/>
      </rPr>
      <t>b</t>
    </r>
  </si>
  <si>
    <t>Toklimastalde, delvis spaltegulv</t>
  </si>
  <si>
    <r>
      <t>a</t>
    </r>
    <r>
      <rPr>
        <sz val="8"/>
        <color rgb="FF000000"/>
        <rFont val="Arial"/>
        <family val="2"/>
      </rPr>
      <t xml:space="preserve"> Areal udtrykt per årsso i hhv. fare- og løbedrægtighedsstald ifølge AU Technical report BCE –TR-12 af Kai og Adamsen, 2017.</t>
    </r>
  </si>
  <si>
    <r>
      <t>b</t>
    </r>
    <r>
      <rPr>
        <sz val="8"/>
        <color rgb="FF000000"/>
        <rFont val="Arial"/>
        <family val="2"/>
      </rPr>
      <t xml:space="preserve"> Estimat for rotationshastighed er opdateret ift. tal ifølge AU Technical report BCE –TR-12 af Kai og Adamsen, 2017.</t>
    </r>
  </si>
  <si>
    <r>
      <t>c</t>
    </r>
    <r>
      <rPr>
        <sz val="8"/>
        <color rgb="FF000000"/>
        <rFont val="Arial"/>
        <family val="2"/>
      </rPr>
      <t xml:space="preserve"> Emissionsfaktorer er fra gældende ”bekendtgørelse om godkendelse mv. af husdyrbrug” (husdyrgodkendelsesbekendtgørelsen)</t>
    </r>
  </si>
  <si>
    <r>
      <t>d</t>
    </r>
    <r>
      <rPr>
        <sz val="8"/>
        <color rgb="FF000000"/>
        <rFont val="Arial"/>
        <family val="2"/>
      </rPr>
      <t xml:space="preserve"> Emission udtrykt per årsso i hhv. fare- og løbedrægtighedsstald ifølge AU Technical report BCE –TR-12 af Kai og Adamsen, 2017.</t>
    </r>
  </si>
  <si>
    <r>
      <t xml:space="preserve">Kilde: </t>
    </r>
    <r>
      <rPr>
        <sz val="8"/>
        <color rgb="FF000000"/>
        <rFont val="Arial"/>
        <family val="2"/>
      </rPr>
      <t>Delvist uddrag fra tabel 1-41 i AU Technical report BCE –TR-12 af Kai og Adamsen, 2017.</t>
    </r>
  </si>
  <si>
    <t>Kllde til ovenstående beregninger</t>
  </si>
  <si>
    <t>Kjeldal N/100 g protein</t>
  </si>
  <si>
    <t>TAN N i gyllen ab gris</t>
  </si>
  <si>
    <t>TAN=(ExF/1000xg/100/I)-(CxH)</t>
  </si>
  <si>
    <t>Emissionkoefficient stald af TAN</t>
  </si>
  <si>
    <t>Emissionsfaktor lager af TAN</t>
  </si>
  <si>
    <t>Standar TAN ab stald</t>
  </si>
  <si>
    <t>Delvist sp inde -udendørs gødeareal</t>
  </si>
  <si>
    <t>Økologisk - udendørs mark</t>
  </si>
  <si>
    <t>Dybstrøelse inde -udendørs gødeareal</t>
  </si>
  <si>
    <t>Emission før virkemiddel per gris, kg kg NH3-N-stald</t>
  </si>
  <si>
    <t>Emission før virkemiddel per gris, kg kg NH3-N- lager</t>
  </si>
  <si>
    <t>Grise på mark</t>
  </si>
  <si>
    <t>Ton gylle per gris</t>
  </si>
  <si>
    <t>0,018/0,072</t>
  </si>
  <si>
    <t>23/1,9</t>
  </si>
  <si>
    <t>Lager-indirekte emission N2o, % of TAN i gyllen</t>
  </si>
  <si>
    <t>NORM</t>
  </si>
  <si>
    <t>Individuel opstaldning fast gulv-fast/alje</t>
  </si>
  <si>
    <t>0,52/1,74</t>
  </si>
  <si>
    <t>0,67/2,18</t>
  </si>
  <si>
    <t>33/5,5</t>
  </si>
  <si>
    <t>23/2,5</t>
  </si>
  <si>
    <t>FARESTALDE</t>
  </si>
  <si>
    <t>Drægtighedsstalde</t>
  </si>
  <si>
    <t>Beregning af emissionskoeficienetr -Økologisk smågris</t>
  </si>
  <si>
    <t>Beregning af emissionskoeficienetr -Økologisk slagtesvin</t>
  </si>
  <si>
    <t>Standar TAN ab årsso</t>
  </si>
  <si>
    <t>Løsgående, dybstrøelse-spaltegulv-Dybstrøelse /gylle</t>
  </si>
  <si>
    <t>Løsgående, dybstrøelse-fastgulv-Dybstrø /gylle</t>
  </si>
  <si>
    <t>Løsgående, delvis spaltegulv-gylle</t>
  </si>
  <si>
    <t>Dybstrøelse inde. Løbegård-gylle ude</t>
  </si>
  <si>
    <t>Spaltegulv inde og ude-Gylle</t>
  </si>
  <si>
    <t>Note:</t>
  </si>
  <si>
    <t>Når grisene går ude på mark findes der ingen emissionsfaktorer</t>
  </si>
  <si>
    <t>0,8/2,14</t>
  </si>
  <si>
    <t>33/5</t>
  </si>
  <si>
    <t>0,1/0,36</t>
  </si>
  <si>
    <t>0,09/0,35</t>
  </si>
  <si>
    <t>33/4,9</t>
  </si>
  <si>
    <t>0,07/0,46</t>
  </si>
  <si>
    <t>Økologiske stalde-smågrise</t>
  </si>
  <si>
    <t>2/13,4</t>
  </si>
  <si>
    <t>11,4/13,4</t>
  </si>
  <si>
    <t>0,01/0,06</t>
  </si>
  <si>
    <t>7,2/13,4</t>
  </si>
  <si>
    <t>23*/2</t>
  </si>
  <si>
    <t>https://envs.au.dk/en/research-areas/air-pollution-emissions-and-effects/air-emissions/greenhouse-gases/supporting-documentation/</t>
  </si>
  <si>
    <t>https://www.ipcc-nggip.iges.or.jp/public/2006gl/pdf/4_Volume4/V4_10_Ch10_Livestock.pdf</t>
  </si>
  <si>
    <t>IPCC 2006 EF faktorer</t>
  </si>
  <si>
    <t>NI 2020 tabel 5.14</t>
  </si>
  <si>
    <t>IPCC 2006</t>
  </si>
  <si>
    <t>https://svineproduktion.dk/Publikationer/Kilder/Notater/2020/2014</t>
  </si>
  <si>
    <t>Normtal for vand, energi, syreforbrug (UDKAST)</t>
  </si>
  <si>
    <t>Dyrkategori</t>
  </si>
  <si>
    <t>Løbe-drægtighedsstald</t>
  </si>
  <si>
    <t>Farestald</t>
  </si>
  <si>
    <t>Årsso</t>
  </si>
  <si>
    <t>Smågrisestald 6,6-31 kg</t>
  </si>
  <si>
    <t>Slagtesvinestald 31-114 kg</t>
  </si>
  <si>
    <t>Vand</t>
  </si>
  <si>
    <t>Drikkevand  per dyr, l</t>
  </si>
  <si>
    <t>notat 0337, notat 1902</t>
  </si>
  <si>
    <t>Årligt vandforbrug til vask per gris, l</t>
  </si>
  <si>
    <t>vejledning i rengøring og desinfektion</t>
  </si>
  <si>
    <t>Årligt vandforbrug til køling/overbrusning per gris, l</t>
  </si>
  <si>
    <t>Torben Jensen</t>
  </si>
  <si>
    <t>Årligt vandforbrug til kemisk luftrenser, per gris, l</t>
  </si>
  <si>
    <t>Erfa. 1513</t>
  </si>
  <si>
    <t>Energi</t>
  </si>
  <si>
    <t>Elforbrug til drift af stald, lys,ventilation, foderanlæg, gylle,håndtering,  KWh per dyr</t>
  </si>
  <si>
    <t>Vejledende norm energiforbrug</t>
  </si>
  <si>
    <t>Varme omregnet til Kwh per dyr</t>
  </si>
  <si>
    <t>Elforbrug til foderproduktion, i KWh per gris</t>
  </si>
  <si>
    <t>Erfa 1211</t>
  </si>
  <si>
    <t>Elforbrug til kemisk fuld  luftrenser,  KWh per gris</t>
  </si>
  <si>
    <t>Elforbrug til kemisk luftrenser, i KWh per gris (10 % punktudsugning)</t>
  </si>
  <si>
    <t>Medd. 1149</t>
  </si>
  <si>
    <t>Elforbrug til biologisk luftrenser, i KWh (Fuld luftrensning)</t>
  </si>
  <si>
    <t>Medd. 930</t>
  </si>
  <si>
    <t>Elforbrug til smelhter, i KWh per ton gylle/per gris</t>
  </si>
  <si>
    <t>Medd.1132/ medd 1130</t>
  </si>
  <si>
    <t>Elforbrug til gylleseparering Kwh per ton gylle</t>
  </si>
  <si>
    <t>Medd.1132</t>
  </si>
  <si>
    <t>Elforbrug til gyllekøling kwh per gris</t>
  </si>
  <si>
    <t>Medd. 1105</t>
  </si>
  <si>
    <t>Sparet el ved LED lys per gris</t>
  </si>
  <si>
    <t>egne beregninger</t>
  </si>
  <si>
    <t>Sparet el ved lavenergi jævnstrømsmotorer til ventilation (LPC/EC, per gris</t>
  </si>
  <si>
    <t>Erfa 1605</t>
  </si>
  <si>
    <t>Udtøring af stald, l olie per gris</t>
  </si>
  <si>
    <t>skøn</t>
  </si>
  <si>
    <t>Udtøring af stald,Kwh per stiplads årligl olie per stiplads</t>
  </si>
  <si>
    <t>Notat 9437</t>
  </si>
  <si>
    <t>Sparet varme ved gyllekøling, Kwh per gris</t>
  </si>
  <si>
    <t>Egne beregninger/skøn</t>
  </si>
  <si>
    <t>Syre</t>
  </si>
  <si>
    <t>Syre til kemisk luftrenser, l per slagtesvin</t>
  </si>
  <si>
    <t>Syre til forsuring /smelfighter kg per gris</t>
  </si>
  <si>
    <t>Medd 1130</t>
  </si>
  <si>
    <t>Standar foderblandinger til svin</t>
  </si>
  <si>
    <t>Råvare</t>
  </si>
  <si>
    <t>Blanding</t>
  </si>
  <si>
    <t>Byg</t>
  </si>
  <si>
    <t>Hvede</t>
  </si>
  <si>
    <t>Rug</t>
  </si>
  <si>
    <t>Sojaskrå</t>
  </si>
  <si>
    <t>Solsikkeskrå</t>
  </si>
  <si>
    <t>Rapsskrå</t>
  </si>
  <si>
    <t>Vegatabilsk olie</t>
  </si>
  <si>
    <t>Sukkerroemelasse</t>
  </si>
  <si>
    <t>Vit-Minrealblanding</t>
  </si>
  <si>
    <t>I alt</t>
  </si>
  <si>
    <t>Ford råprotein</t>
  </si>
  <si>
    <t>GWP-LUC</t>
  </si>
  <si>
    <t>GWP+LUC</t>
  </si>
  <si>
    <t>FEsv per kg</t>
  </si>
  <si>
    <t>Fiskemel</t>
  </si>
  <si>
    <t>Kartoffrelprotein</t>
  </si>
  <si>
    <t>Hvedeklid</t>
  </si>
  <si>
    <t>Færdig</t>
  </si>
  <si>
    <t>Hjemmebl</t>
  </si>
  <si>
    <t xml:space="preserve">Der kommer flere blandinger til </t>
  </si>
  <si>
    <t>T:\2020\330_KompVaekst\5542_Landbrugsbedriftens bæredygtighedsplatform\01_Arbejdsmappe\2040 AP4 Fastlæggelse af normtal\Leverancer AP4\Normtal-svin.xlsx</t>
  </si>
  <si>
    <t>Her kan du åbne wordfilen og for at aktivere links</t>
  </si>
  <si>
    <t>Løsgående faresti-fuldspaltegulv</t>
  </si>
  <si>
    <t>Dokumentation og Brugervejledning for dette regneark, Normtal_svineproduktion, findes her.</t>
  </si>
  <si>
    <t>Se vejledningen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</si>
</sst>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0"/>
    <numFmt numFmtId="166" formatCode="0.000"/>
    <numFmt numFmtId="167" formatCode="0.0%"/>
    <numFmt numFmtId="168" formatCode="#,##0.0"/>
    <numFmt numFmtId="169" formatCode="0.00000"/>
  </numFmts>
  <fonts count="57" x14ac:knownFonts="1"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9.5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9"/>
      <color theme="1"/>
      <name val="Arial"/>
      <family val="2"/>
    </font>
    <font>
      <sz val="14.5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Georgia"/>
      <family val="1"/>
    </font>
    <font>
      <sz val="11"/>
      <color theme="9"/>
      <name val="Georgia"/>
      <family val="1"/>
    </font>
    <font>
      <b/>
      <i/>
      <sz val="11"/>
      <color theme="3"/>
      <name val="Georgia"/>
      <family val="1"/>
    </font>
    <font>
      <sz val="11"/>
      <color rgb="FFFF0000"/>
      <name val="Georgia"/>
      <family val="1"/>
    </font>
    <font>
      <sz val="11"/>
      <name val="Georgi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14"/>
      <color theme="1"/>
      <name val="Georgia"/>
      <family val="1"/>
    </font>
    <font>
      <b/>
      <sz val="9"/>
      <color theme="1"/>
      <name val="Arial Black"/>
      <family val="2"/>
    </font>
    <font>
      <b/>
      <sz val="9"/>
      <color theme="3"/>
      <name val="Arial Black"/>
      <family val="2"/>
    </font>
    <font>
      <sz val="14"/>
      <color theme="1"/>
      <name val="Book Antiqua"/>
      <family val="1"/>
    </font>
    <font>
      <sz val="11"/>
      <color theme="1"/>
      <name val="Times New Roman"/>
      <family val="1"/>
    </font>
    <font>
      <b/>
      <sz val="11"/>
      <color theme="1"/>
      <name val="Georgia"/>
      <family val="1"/>
    </font>
    <font>
      <sz val="11"/>
      <color theme="1"/>
      <name val="Arial"/>
      <family val="2"/>
    </font>
    <font>
      <sz val="11"/>
      <name val="Arial"/>
      <family val="2"/>
    </font>
    <font>
      <sz val="11"/>
      <color theme="9"/>
      <name val="Arial"/>
      <family val="2"/>
    </font>
    <font>
      <b/>
      <sz val="12"/>
      <name val="Arial"/>
      <family val="2"/>
    </font>
    <font>
      <sz val="9"/>
      <color theme="1"/>
      <name val="Arial"/>
      <family val="2"/>
    </font>
    <font>
      <b/>
      <u/>
      <sz val="8.5"/>
      <color theme="1"/>
      <name val="Arial"/>
      <family val="2"/>
    </font>
    <font>
      <sz val="8.5"/>
      <color theme="1"/>
      <name val="Arial"/>
      <family val="2"/>
    </font>
    <font>
      <b/>
      <sz val="9"/>
      <color rgb="FF000000"/>
      <name val="Arial"/>
      <family val="2"/>
    </font>
    <font>
      <b/>
      <vertAlign val="subscript"/>
      <sz val="9"/>
      <color rgb="FF000000"/>
      <name val="Arial"/>
      <family val="2"/>
    </font>
    <font>
      <b/>
      <vertAlign val="superscript"/>
      <sz val="9"/>
      <color rgb="FF000000"/>
      <name val="Arial"/>
      <family val="2"/>
    </font>
    <font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i/>
      <sz val="9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u/>
      <sz val="9"/>
      <color theme="10"/>
      <name val="Arial"/>
      <family val="2"/>
    </font>
    <font>
      <b/>
      <i/>
      <sz val="9"/>
      <color rgb="FF000000"/>
      <name val="Arial"/>
      <family val="2"/>
    </font>
    <font>
      <i/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vertAlign val="subscript"/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sz val="12"/>
      <color theme="1"/>
      <name val="Georgia"/>
      <family val="1"/>
    </font>
    <font>
      <sz val="10"/>
      <color theme="1"/>
      <name val="Book Antiqua"/>
      <family val="1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16"/>
      <color theme="1"/>
      <name val="Arial"/>
      <family val="2"/>
    </font>
    <font>
      <u/>
      <sz val="14"/>
      <color theme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DADAD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4F3EF"/>
        <bgColor indexed="64"/>
      </patternFill>
    </fill>
    <fill>
      <patternFill patternType="solid">
        <fgColor rgb="FFDEE5DD"/>
        <bgColor indexed="64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CAD5C8"/>
      </right>
      <top/>
      <bottom style="medium">
        <color rgb="FFCAD5C8"/>
      </bottom>
      <diagonal/>
    </border>
    <border>
      <left style="medium">
        <color rgb="FFCAD5C8"/>
      </left>
      <right/>
      <top/>
      <bottom style="medium">
        <color rgb="FFCAD5C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CAD5C8"/>
      </bottom>
      <diagonal/>
    </border>
    <border>
      <left/>
      <right/>
      <top/>
      <bottom style="medium">
        <color rgb="FF7C9877"/>
      </bottom>
      <diagonal/>
    </border>
    <border>
      <left/>
      <right/>
      <top style="medium">
        <color rgb="FF7C9877"/>
      </top>
      <bottom/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481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2" fillId="0" borderId="0" xfId="0" applyFont="1"/>
    <xf numFmtId="0" fontId="2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6" fillId="0" borderId="0" xfId="0" applyFont="1" applyAlignment="1">
      <alignment horizontal="left" vertical="center" indent="1"/>
    </xf>
    <xf numFmtId="0" fontId="6" fillId="0" borderId="0" xfId="0" applyFont="1"/>
    <xf numFmtId="0" fontId="0" fillId="0" borderId="0" xfId="0" applyAlignment="1">
      <alignment horizontal="center"/>
    </xf>
    <xf numFmtId="0" fontId="5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" fillId="0" borderId="4" xfId="0" applyFont="1" applyBorder="1"/>
    <xf numFmtId="0" fontId="0" fillId="0" borderId="5" xfId="0" applyBorder="1"/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3" fillId="2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3" fillId="0" borderId="11" xfId="0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0" fontId="4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4" fillId="2" borderId="16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/>
    </xf>
    <xf numFmtId="0" fontId="0" fillId="0" borderId="4" xfId="0" applyBorder="1"/>
    <xf numFmtId="0" fontId="1" fillId="0" borderId="5" xfId="0" applyFont="1" applyBorder="1"/>
    <xf numFmtId="0" fontId="10" fillId="0" borderId="0" xfId="0" applyFont="1" applyBorder="1" applyAlignment="1">
      <alignment vertical="center" wrapText="1"/>
    </xf>
    <xf numFmtId="0" fontId="0" fillId="0" borderId="11" xfId="0" applyBorder="1"/>
    <xf numFmtId="0" fontId="0" fillId="0" borderId="13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10" fillId="2" borderId="0" xfId="0" applyFont="1" applyFill="1" applyBorder="1" applyAlignment="1">
      <alignment vertical="center" wrapText="1"/>
    </xf>
    <xf numFmtId="0" fontId="0" fillId="0" borderId="8" xfId="0" applyBorder="1" applyAlignment="1">
      <alignment horizontal="center"/>
    </xf>
    <xf numFmtId="0" fontId="3" fillId="2" borderId="16" xfId="0" applyFont="1" applyFill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/>
    <xf numFmtId="0" fontId="11" fillId="0" borderId="0" xfId="0" applyFont="1"/>
    <xf numFmtId="0" fontId="11" fillId="0" borderId="0" xfId="0" applyFont="1" applyAlignment="1">
      <alignment horizontal="left" vertical="center" indent="1"/>
    </xf>
    <xf numFmtId="0" fontId="12" fillId="3" borderId="0" xfId="0" applyFont="1" applyFill="1"/>
    <xf numFmtId="0" fontId="12" fillId="3" borderId="20" xfId="0" applyFont="1" applyFill="1" applyBorder="1"/>
    <xf numFmtId="1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left"/>
    </xf>
    <xf numFmtId="164" fontId="12" fillId="3" borderId="0" xfId="0" applyNumberFormat="1" applyFont="1" applyFill="1" applyAlignment="1">
      <alignment horizontal="left"/>
    </xf>
    <xf numFmtId="2" fontId="12" fillId="3" borderId="0" xfId="0" applyNumberFormat="1" applyFont="1" applyFill="1" applyAlignment="1">
      <alignment horizontal="left"/>
    </xf>
    <xf numFmtId="0" fontId="19" fillId="0" borderId="0" xfId="0" applyFont="1"/>
    <xf numFmtId="0" fontId="20" fillId="3" borderId="0" xfId="0" applyFont="1" applyFill="1"/>
    <xf numFmtId="0" fontId="21" fillId="0" borderId="0" xfId="0" applyFont="1"/>
    <xf numFmtId="0" fontId="22" fillId="0" borderId="0" xfId="1" applyFont="1" applyFill="1" applyBorder="1"/>
    <xf numFmtId="0" fontId="22" fillId="0" borderId="21" xfId="1" applyFont="1" applyFill="1" applyBorder="1"/>
    <xf numFmtId="0" fontId="12" fillId="3" borderId="20" xfId="0" applyFont="1" applyFill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24" fillId="0" borderId="0" xfId="0" applyFont="1"/>
    <xf numFmtId="0" fontId="6" fillId="0" borderId="22" xfId="0" applyFont="1" applyBorder="1" applyAlignment="1">
      <alignment horizontal="left" vertical="center" indent="1"/>
    </xf>
    <xf numFmtId="0" fontId="0" fillId="0" borderId="23" xfId="0" applyBorder="1"/>
    <xf numFmtId="0" fontId="4" fillId="2" borderId="0" xfId="0" applyFont="1" applyFill="1" applyBorder="1" applyAlignment="1">
      <alignment vertical="center" wrapText="1"/>
    </xf>
    <xf numFmtId="0" fontId="0" fillId="0" borderId="19" xfId="0" applyBorder="1" applyAlignment="1">
      <alignment horizontal="center" wrapText="1"/>
    </xf>
    <xf numFmtId="0" fontId="2" fillId="2" borderId="16" xfId="0" applyFont="1" applyFill="1" applyBorder="1" applyAlignment="1">
      <alignment vertical="center" wrapText="1"/>
    </xf>
    <xf numFmtId="0" fontId="11" fillId="0" borderId="4" xfId="0" applyFont="1" applyBorder="1" applyAlignment="1">
      <alignment horizontal="left" vertical="center" indent="1"/>
    </xf>
    <xf numFmtId="0" fontId="0" fillId="0" borderId="5" xfId="0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/>
    <xf numFmtId="0" fontId="13" fillId="0" borderId="0" xfId="0" applyFont="1" applyFill="1"/>
    <xf numFmtId="0" fontId="12" fillId="3" borderId="0" xfId="0" applyFont="1" applyFill="1" applyBorder="1"/>
    <xf numFmtId="0" fontId="12" fillId="3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6" fillId="3" borderId="20" xfId="0" applyFont="1" applyFill="1" applyBorder="1"/>
    <xf numFmtId="0" fontId="26" fillId="6" borderId="20" xfId="0" applyFont="1" applyFill="1" applyBorder="1"/>
    <xf numFmtId="0" fontId="1" fillId="3" borderId="20" xfId="0" applyFont="1" applyFill="1" applyBorder="1"/>
    <xf numFmtId="0" fontId="1" fillId="3" borderId="0" xfId="0" applyFont="1" applyFill="1" applyBorder="1"/>
    <xf numFmtId="0" fontId="26" fillId="7" borderId="20" xfId="0" applyFont="1" applyFill="1" applyBorder="1"/>
    <xf numFmtId="0" fontId="12" fillId="7" borderId="0" xfId="0" applyFont="1" applyFill="1" applyAlignment="1">
      <alignment horizontal="left"/>
    </xf>
    <xf numFmtId="1" fontId="12" fillId="7" borderId="0" xfId="0" applyNumberFormat="1" applyFont="1" applyFill="1" applyAlignment="1">
      <alignment horizontal="left"/>
    </xf>
    <xf numFmtId="0" fontId="1" fillId="6" borderId="20" xfId="0" applyFont="1" applyFill="1" applyBorder="1"/>
    <xf numFmtId="0" fontId="23" fillId="0" borderId="0" xfId="0" applyFont="1" applyFill="1"/>
    <xf numFmtId="0" fontId="29" fillId="0" borderId="20" xfId="0" applyFont="1" applyFill="1" applyBorder="1"/>
    <xf numFmtId="0" fontId="6" fillId="0" borderId="0" xfId="0" applyFont="1" applyFill="1" applyAlignment="1">
      <alignment horizontal="left" vertical="center" indent="1"/>
    </xf>
    <xf numFmtId="0" fontId="0" fillId="0" borderId="19" xfId="0" applyBorder="1" applyAlignment="1">
      <alignment wrapText="1"/>
    </xf>
    <xf numFmtId="0" fontId="0" fillId="0" borderId="9" xfId="0" applyBorder="1"/>
    <xf numFmtId="0" fontId="0" fillId="0" borderId="14" xfId="0" applyBorder="1"/>
    <xf numFmtId="1" fontId="0" fillId="0" borderId="8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32" fillId="0" borderId="24" xfId="0" applyFont="1" applyBorder="1" applyAlignment="1">
      <alignment horizontal="left"/>
    </xf>
    <xf numFmtId="0" fontId="32" fillId="0" borderId="24" xfId="0" applyFont="1" applyBorder="1" applyAlignment="1">
      <alignment horizontal="right"/>
    </xf>
    <xf numFmtId="164" fontId="32" fillId="0" borderId="24" xfId="0" applyNumberFormat="1" applyFont="1" applyBorder="1" applyAlignment="1">
      <alignment horizontal="right"/>
    </xf>
    <xf numFmtId="0" fontId="32" fillId="0" borderId="8" xfId="0" applyFont="1" applyBorder="1" applyAlignment="1">
      <alignment vertical="center"/>
    </xf>
    <xf numFmtId="168" fontId="32" fillId="0" borderId="10" xfId="0" applyNumberFormat="1" applyFont="1" applyBorder="1" applyAlignment="1">
      <alignment horizontal="right" vertical="center"/>
    </xf>
    <xf numFmtId="0" fontId="32" fillId="0" borderId="13" xfId="0" applyFont="1" applyBorder="1" applyAlignment="1">
      <alignment vertical="center"/>
    </xf>
    <xf numFmtId="168" fontId="32" fillId="0" borderId="15" xfId="0" applyNumberFormat="1" applyFont="1" applyBorder="1" applyAlignment="1">
      <alignment horizontal="right" vertical="center"/>
    </xf>
    <xf numFmtId="0" fontId="36" fillId="8" borderId="31" xfId="0" applyFont="1" applyFill="1" applyBorder="1" applyAlignment="1">
      <alignment horizontal="center" vertical="center" wrapText="1"/>
    </xf>
    <xf numFmtId="0" fontId="36" fillId="8" borderId="27" xfId="0" applyFont="1" applyFill="1" applyBorder="1" applyAlignment="1">
      <alignment horizontal="center" vertical="center" wrapText="1"/>
    </xf>
    <xf numFmtId="0" fontId="0" fillId="0" borderId="28" xfId="0" applyBorder="1"/>
    <xf numFmtId="0" fontId="24" fillId="0" borderId="11" xfId="0" applyFont="1" applyBorder="1"/>
    <xf numFmtId="0" fontId="12" fillId="3" borderId="11" xfId="0" applyFont="1" applyFill="1" applyBorder="1"/>
    <xf numFmtId="0" fontId="12" fillId="3" borderId="0" xfId="0" applyFont="1" applyFill="1" applyBorder="1" applyAlignment="1">
      <alignment horizontal="left"/>
    </xf>
    <xf numFmtId="0" fontId="25" fillId="3" borderId="13" xfId="0" applyFont="1" applyFill="1" applyBorder="1"/>
    <xf numFmtId="0" fontId="12" fillId="3" borderId="14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12" fillId="3" borderId="13" xfId="0" applyFont="1" applyFill="1" applyBorder="1"/>
    <xf numFmtId="0" fontId="26" fillId="3" borderId="8" xfId="0" applyFont="1" applyFill="1" applyBorder="1"/>
    <xf numFmtId="0" fontId="26" fillId="3" borderId="11" xfId="0" applyFont="1" applyFill="1" applyBorder="1"/>
    <xf numFmtId="0" fontId="26" fillId="0" borderId="11" xfId="0" applyFont="1" applyBorder="1"/>
    <xf numFmtId="0" fontId="12" fillId="3" borderId="0" xfId="0" applyFont="1" applyFill="1" applyAlignment="1">
      <alignment horizontal="center"/>
    </xf>
    <xf numFmtId="0" fontId="40" fillId="0" borderId="0" xfId="0" applyFont="1"/>
    <xf numFmtId="0" fontId="27" fillId="3" borderId="11" xfId="0" applyFont="1" applyFill="1" applyBorder="1"/>
    <xf numFmtId="0" fontId="27" fillId="3" borderId="13" xfId="0" applyFont="1" applyFill="1" applyBorder="1"/>
    <xf numFmtId="0" fontId="27" fillId="0" borderId="8" xfId="0" applyFont="1" applyBorder="1"/>
    <xf numFmtId="0" fontId="26" fillId="0" borderId="8" xfId="0" applyFont="1" applyBorder="1"/>
    <xf numFmtId="164" fontId="26" fillId="0" borderId="9" xfId="0" applyNumberFormat="1" applyFont="1" applyBorder="1" applyAlignment="1">
      <alignment horizontal="center"/>
    </xf>
    <xf numFmtId="164" fontId="26" fillId="0" borderId="10" xfId="0" applyNumberFormat="1" applyFont="1" applyBorder="1" applyAlignment="1">
      <alignment horizontal="center"/>
    </xf>
    <xf numFmtId="0" fontId="40" fillId="0" borderId="11" xfId="0" applyFont="1" applyBorder="1"/>
    <xf numFmtId="164" fontId="40" fillId="0" borderId="0" xfId="0" applyNumberFormat="1" applyFont="1" applyBorder="1" applyAlignment="1">
      <alignment horizontal="center"/>
    </xf>
    <xf numFmtId="164" fontId="40" fillId="0" borderId="12" xfId="0" applyNumberFormat="1" applyFont="1" applyBorder="1" applyAlignment="1">
      <alignment horizontal="center"/>
    </xf>
    <xf numFmtId="0" fontId="26" fillId="0" borderId="13" xfId="0" applyFont="1" applyBorder="1"/>
    <xf numFmtId="164" fontId="26" fillId="0" borderId="14" xfId="0" applyNumberFormat="1" applyFont="1" applyBorder="1" applyAlignment="1">
      <alignment horizontal="center"/>
    </xf>
    <xf numFmtId="164" fontId="26" fillId="0" borderId="15" xfId="0" applyNumberFormat="1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0" borderId="0" xfId="0" applyNumberFormat="1" applyFont="1" applyBorder="1" applyAlignment="1">
      <alignment horizontal="center"/>
    </xf>
    <xf numFmtId="164" fontId="26" fillId="0" borderId="12" xfId="0" applyNumberFormat="1" applyFont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1" fontId="12" fillId="3" borderId="14" xfId="0" applyNumberFormat="1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2" fillId="3" borderId="0" xfId="0" applyNumberFormat="1" applyFont="1" applyFill="1" applyAlignment="1">
      <alignment horizontal="center"/>
    </xf>
    <xf numFmtId="164" fontId="12" fillId="3" borderId="0" xfId="0" applyNumberFormat="1" applyFont="1" applyFill="1" applyAlignment="1">
      <alignment horizontal="center"/>
    </xf>
    <xf numFmtId="0" fontId="11" fillId="0" borderId="9" xfId="0" applyFont="1" applyBorder="1" applyAlignment="1">
      <alignment horizontal="center"/>
    </xf>
    <xf numFmtId="164" fontId="12" fillId="3" borderId="9" xfId="0" applyNumberFormat="1" applyFont="1" applyFill="1" applyBorder="1" applyAlignment="1">
      <alignment horizontal="center"/>
    </xf>
    <xf numFmtId="9" fontId="12" fillId="3" borderId="0" xfId="0" applyNumberFormat="1" applyFont="1" applyFill="1" applyBorder="1" applyAlignment="1">
      <alignment horizontal="center"/>
    </xf>
    <xf numFmtId="9" fontId="12" fillId="3" borderId="12" xfId="0" applyNumberFormat="1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9" fontId="12" fillId="3" borderId="15" xfId="0" applyNumberFormat="1" applyFont="1" applyFill="1" applyBorder="1" applyAlignment="1">
      <alignment horizontal="center"/>
    </xf>
    <xf numFmtId="2" fontId="9" fillId="0" borderId="0" xfId="0" applyNumberFormat="1" applyFont="1"/>
    <xf numFmtId="169" fontId="9" fillId="0" borderId="0" xfId="0" applyNumberFormat="1" applyFont="1"/>
    <xf numFmtId="164" fontId="40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/>
    <xf numFmtId="0" fontId="0" fillId="0" borderId="0" xfId="0" applyFill="1" applyBorder="1" applyAlignment="1">
      <alignment wrapText="1"/>
    </xf>
    <xf numFmtId="0" fontId="0" fillId="0" borderId="25" xfId="0" applyBorder="1"/>
    <xf numFmtId="0" fontId="0" fillId="0" borderId="25" xfId="0" applyFill="1" applyBorder="1" applyAlignment="1">
      <alignment wrapText="1"/>
    </xf>
    <xf numFmtId="0" fontId="0" fillId="0" borderId="6" xfId="0" applyBorder="1"/>
    <xf numFmtId="169" fontId="0" fillId="0" borderId="0" xfId="0" applyNumberFormat="1"/>
    <xf numFmtId="0" fontId="0" fillId="0" borderId="0" xfId="0" applyBorder="1" applyAlignment="1"/>
    <xf numFmtId="0" fontId="13" fillId="4" borderId="8" xfId="0" applyFont="1" applyFill="1" applyBorder="1" applyAlignment="1">
      <alignment horizontal="left"/>
    </xf>
    <xf numFmtId="0" fontId="13" fillId="4" borderId="9" xfId="0" applyFont="1" applyFill="1" applyBorder="1" applyAlignment="1">
      <alignment horizontal="left"/>
    </xf>
    <xf numFmtId="0" fontId="13" fillId="4" borderId="10" xfId="0" applyFont="1" applyFill="1" applyBorder="1" applyAlignment="1">
      <alignment horizontal="left"/>
    </xf>
    <xf numFmtId="0" fontId="14" fillId="4" borderId="13" xfId="1" applyFont="1" applyFill="1" applyBorder="1"/>
    <xf numFmtId="0" fontId="14" fillId="4" borderId="14" xfId="1" applyFont="1" applyFill="1" applyBorder="1" applyAlignment="1">
      <alignment wrapText="1"/>
    </xf>
    <xf numFmtId="0" fontId="14" fillId="4" borderId="14" xfId="1" applyFont="1" applyFill="1" applyBorder="1"/>
    <xf numFmtId="0" fontId="13" fillId="4" borderId="5" xfId="0" applyFont="1" applyFill="1" applyBorder="1"/>
    <xf numFmtId="0" fontId="0" fillId="0" borderId="14" xfId="0" applyBorder="1" applyAlignment="1">
      <alignment horizontal="center"/>
    </xf>
    <xf numFmtId="0" fontId="16" fillId="4" borderId="5" xfId="0" applyFont="1" applyFill="1" applyBorder="1"/>
    <xf numFmtId="164" fontId="12" fillId="3" borderId="0" xfId="0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1" fontId="12" fillId="6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2" fontId="40" fillId="0" borderId="0" xfId="0" applyNumberFormat="1" applyFont="1" applyFill="1" applyBorder="1" applyAlignment="1">
      <alignment horizontal="center"/>
    </xf>
    <xf numFmtId="166" fontId="40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9" xfId="0" applyFont="1" applyBorder="1"/>
    <xf numFmtId="0" fontId="0" fillId="0" borderId="0" xfId="0" applyFont="1" applyBorder="1"/>
    <xf numFmtId="0" fontId="0" fillId="0" borderId="14" xfId="0" applyFont="1" applyBorder="1"/>
    <xf numFmtId="0" fontId="41" fillId="3" borderId="0" xfId="0" applyFont="1" applyFill="1" applyBorder="1"/>
    <xf numFmtId="9" fontId="26" fillId="3" borderId="0" xfId="0" applyNumberFormat="1" applyFont="1" applyFill="1" applyBorder="1" applyAlignment="1">
      <alignment horizontal="left"/>
    </xf>
    <xf numFmtId="0" fontId="26" fillId="3" borderId="0" xfId="0" applyFont="1" applyFill="1" applyBorder="1"/>
    <xf numFmtId="0" fontId="26" fillId="3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0" fontId="41" fillId="3" borderId="14" xfId="0" applyFont="1" applyFill="1" applyBorder="1"/>
    <xf numFmtId="0" fontId="26" fillId="3" borderId="13" xfId="0" applyFont="1" applyFill="1" applyBorder="1"/>
    <xf numFmtId="0" fontId="27" fillId="3" borderId="11" xfId="0" applyFont="1" applyFill="1" applyBorder="1" applyAlignment="1">
      <alignment horizontal="left"/>
    </xf>
    <xf numFmtId="0" fontId="15" fillId="3" borderId="0" xfId="0" applyFont="1" applyFill="1" applyBorder="1" applyAlignment="1">
      <alignment horizontal="left"/>
    </xf>
    <xf numFmtId="0" fontId="12" fillId="3" borderId="26" xfId="0" applyFont="1" applyFill="1" applyBorder="1" applyAlignment="1">
      <alignment horizontal="center"/>
    </xf>
    <xf numFmtId="9" fontId="12" fillId="3" borderId="10" xfId="0" applyNumberFormat="1" applyFont="1" applyFill="1" applyBorder="1" applyAlignment="1">
      <alignment horizontal="center"/>
    </xf>
    <xf numFmtId="9" fontId="12" fillId="3" borderId="28" xfId="0" applyNumberFormat="1" applyFont="1" applyFill="1" applyBorder="1" applyAlignment="1">
      <alignment horizontal="center"/>
    </xf>
    <xf numFmtId="0" fontId="12" fillId="3" borderId="28" xfId="0" applyFont="1" applyFill="1" applyBorder="1" applyAlignment="1">
      <alignment horizontal="center"/>
    </xf>
    <xf numFmtId="0" fontId="12" fillId="0" borderId="2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/>
    </xf>
    <xf numFmtId="0" fontId="42" fillId="0" borderId="0" xfId="2"/>
    <xf numFmtId="0" fontId="0" fillId="0" borderId="12" xfId="0" applyBorder="1"/>
    <xf numFmtId="0" fontId="0" fillId="0" borderId="0" xfId="0" applyBorder="1"/>
    <xf numFmtId="0" fontId="33" fillId="8" borderId="5" xfId="0" applyFont="1" applyFill="1" applyBorder="1" applyAlignment="1">
      <alignment horizontal="center" vertical="center" wrapText="1"/>
    </xf>
    <xf numFmtId="0" fontId="36" fillId="8" borderId="9" xfId="0" applyFont="1" applyFill="1" applyBorder="1" applyAlignment="1">
      <alignment horizontal="center" vertical="center" wrapText="1"/>
    </xf>
    <xf numFmtId="0" fontId="36" fillId="8" borderId="14" xfId="0" applyFont="1" applyFill="1" applyBorder="1" applyAlignment="1">
      <alignment horizontal="center" vertical="center" wrapText="1"/>
    </xf>
    <xf numFmtId="0" fontId="33" fillId="8" borderId="25" xfId="0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wrapText="1"/>
    </xf>
    <xf numFmtId="0" fontId="13" fillId="4" borderId="9" xfId="0" applyFont="1" applyFill="1" applyBorder="1" applyAlignment="1">
      <alignment horizontal="center"/>
    </xf>
    <xf numFmtId="0" fontId="39" fillId="0" borderId="13" xfId="0" applyFont="1" applyBorder="1"/>
    <xf numFmtId="0" fontId="6" fillId="0" borderId="14" xfId="0" applyFont="1" applyBorder="1"/>
    <xf numFmtId="0" fontId="13" fillId="4" borderId="14" xfId="0" applyFont="1" applyFill="1" applyBorder="1"/>
    <xf numFmtId="0" fontId="19" fillId="0" borderId="4" xfId="0" applyFont="1" applyBorder="1"/>
    <xf numFmtId="0" fontId="14" fillId="4" borderId="5" xfId="1" applyFont="1" applyFill="1" applyBorder="1" applyAlignment="1">
      <alignment wrapText="1"/>
    </xf>
    <xf numFmtId="0" fontId="14" fillId="4" borderId="5" xfId="1" applyFont="1" applyFill="1" applyBorder="1"/>
    <xf numFmtId="0" fontId="14" fillId="4" borderId="25" xfId="1" applyFont="1" applyFill="1" applyBorder="1" applyAlignment="1">
      <alignment wrapText="1"/>
    </xf>
    <xf numFmtId="0" fontId="13" fillId="4" borderId="27" xfId="0" applyFont="1" applyFill="1" applyBorder="1"/>
    <xf numFmtId="1" fontId="12" fillId="3" borderId="28" xfId="0" applyNumberFormat="1" applyFont="1" applyFill="1" applyBorder="1" applyAlignment="1">
      <alignment horizontal="left"/>
    </xf>
    <xf numFmtId="1" fontId="12" fillId="3" borderId="26" xfId="0" applyNumberFormat="1" applyFont="1" applyFill="1" applyBorder="1" applyAlignment="1">
      <alignment horizontal="center"/>
    </xf>
    <xf numFmtId="1" fontId="12" fillId="3" borderId="27" xfId="0" applyNumberFormat="1" applyFont="1" applyFill="1" applyBorder="1" applyAlignment="1">
      <alignment horizontal="center"/>
    </xf>
    <xf numFmtId="0" fontId="16" fillId="4" borderId="25" xfId="0" applyFont="1" applyFill="1" applyBorder="1" applyAlignment="1">
      <alignment wrapText="1"/>
    </xf>
    <xf numFmtId="9" fontId="12" fillId="0" borderId="28" xfId="0" applyNumberFormat="1" applyFont="1" applyFill="1" applyBorder="1" applyAlignment="1">
      <alignment horizontal="center"/>
    </xf>
    <xf numFmtId="0" fontId="45" fillId="9" borderId="0" xfId="0" applyFont="1" applyFill="1" applyAlignment="1">
      <alignment vertical="center" wrapText="1"/>
    </xf>
    <xf numFmtId="0" fontId="45" fillId="9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46" fillId="9" borderId="0" xfId="0" applyFont="1" applyFill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166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1" fillId="0" borderId="8" xfId="0" applyFont="1" applyBorder="1"/>
    <xf numFmtId="0" fontId="0" fillId="0" borderId="9" xfId="0" applyBorder="1" applyAlignment="1">
      <alignment wrapText="1"/>
    </xf>
    <xf numFmtId="166" fontId="0" fillId="0" borderId="0" xfId="0" applyNumberFormat="1" applyBorder="1"/>
    <xf numFmtId="1" fontId="0" fillId="0" borderId="0" xfId="0" applyNumberFormat="1" applyBorder="1"/>
    <xf numFmtId="0" fontId="12" fillId="0" borderId="11" xfId="0" applyFont="1" applyFill="1" applyBorder="1"/>
    <xf numFmtId="166" fontId="0" fillId="0" borderId="14" xfId="0" applyNumberFormat="1" applyBorder="1"/>
    <xf numFmtId="1" fontId="0" fillId="0" borderId="14" xfId="0" applyNumberFormat="1" applyBorder="1"/>
    <xf numFmtId="0" fontId="0" fillId="0" borderId="15" xfId="0" applyBorder="1"/>
    <xf numFmtId="0" fontId="26" fillId="3" borderId="11" xfId="0" applyFont="1" applyFill="1" applyBorder="1" applyAlignment="1">
      <alignment vertical="center"/>
    </xf>
    <xf numFmtId="0" fontId="26" fillId="3" borderId="0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vertical="center"/>
    </xf>
    <xf numFmtId="0" fontId="26" fillId="3" borderId="9" xfId="0" applyFont="1" applyFill="1" applyBorder="1" applyAlignment="1">
      <alignment horizontal="center" vertical="center"/>
    </xf>
    <xf numFmtId="0" fontId="26" fillId="0" borderId="11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11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26" fillId="3" borderId="13" xfId="0" applyFont="1" applyFill="1" applyBorder="1" applyAlignment="1">
      <alignment vertical="center"/>
    </xf>
    <xf numFmtId="0" fontId="26" fillId="3" borderId="14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1" fontId="12" fillId="3" borderId="0" xfId="0" applyNumberFormat="1" applyFont="1" applyFill="1" applyAlignment="1">
      <alignment horizontal="left" vertical="center"/>
    </xf>
    <xf numFmtId="0" fontId="26" fillId="0" borderId="13" xfId="0" applyFont="1" applyBorder="1" applyAlignment="1">
      <alignment vertical="center"/>
    </xf>
    <xf numFmtId="2" fontId="26" fillId="3" borderId="0" xfId="0" applyNumberFormat="1" applyFont="1" applyFill="1" applyBorder="1" applyAlignment="1">
      <alignment horizontal="center" vertical="center"/>
    </xf>
    <xf numFmtId="2" fontId="26" fillId="3" borderId="9" xfId="0" applyNumberFormat="1" applyFont="1" applyFill="1" applyBorder="1" applyAlignment="1">
      <alignment horizontal="center" vertical="center"/>
    </xf>
    <xf numFmtId="164" fontId="26" fillId="3" borderId="0" xfId="0" applyNumberFormat="1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6" fillId="3" borderId="1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wrapText="1"/>
    </xf>
    <xf numFmtId="0" fontId="23" fillId="4" borderId="25" xfId="0" applyFont="1" applyFill="1" applyBorder="1" applyAlignment="1">
      <alignment wrapText="1"/>
    </xf>
    <xf numFmtId="0" fontId="26" fillId="3" borderId="28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164" fontId="26" fillId="3" borderId="28" xfId="0" applyNumberFormat="1" applyFont="1" applyFill="1" applyBorder="1" applyAlignment="1">
      <alignment horizontal="center" vertical="center"/>
    </xf>
    <xf numFmtId="0" fontId="26" fillId="3" borderId="27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left" vertical="center"/>
    </xf>
    <xf numFmtId="0" fontId="0" fillId="0" borderId="0" xfId="0" applyFill="1" applyBorder="1"/>
    <xf numFmtId="164" fontId="0" fillId="0" borderId="0" xfId="0" applyNumberFormat="1" applyBorder="1"/>
    <xf numFmtId="1" fontId="26" fillId="3" borderId="0" xfId="0" applyNumberFormat="1" applyFont="1" applyFill="1" applyBorder="1" applyAlignment="1">
      <alignment horizontal="center" vertical="center"/>
    </xf>
    <xf numFmtId="164" fontId="26" fillId="3" borderId="9" xfId="0" applyNumberFormat="1" applyFont="1" applyFill="1" applyBorder="1" applyAlignment="1">
      <alignment horizontal="center" vertical="center"/>
    </xf>
    <xf numFmtId="1" fontId="26" fillId="3" borderId="14" xfId="0" applyNumberFormat="1" applyFont="1" applyFill="1" applyBorder="1" applyAlignment="1">
      <alignment horizontal="center" vertical="center"/>
    </xf>
    <xf numFmtId="1" fontId="26" fillId="3" borderId="26" xfId="0" applyNumberFormat="1" applyFont="1" applyFill="1" applyBorder="1" applyAlignment="1">
      <alignment horizontal="center" vertical="center"/>
    </xf>
    <xf numFmtId="1" fontId="26" fillId="3" borderId="28" xfId="0" applyNumberFormat="1" applyFont="1" applyFill="1" applyBorder="1" applyAlignment="1">
      <alignment horizontal="center" vertical="center"/>
    </xf>
    <xf numFmtId="1" fontId="26" fillId="3" borderId="27" xfId="0" applyNumberFormat="1" applyFont="1" applyFill="1" applyBorder="1" applyAlignment="1">
      <alignment horizontal="center" vertical="center"/>
    </xf>
    <xf numFmtId="0" fontId="38" fillId="0" borderId="9" xfId="0" applyFont="1" applyBorder="1" applyAlignment="1">
      <alignment wrapText="1"/>
    </xf>
    <xf numFmtId="0" fontId="38" fillId="0" borderId="0" xfId="0" applyFont="1" applyBorder="1"/>
    <xf numFmtId="0" fontId="38" fillId="0" borderId="14" xfId="0" applyFont="1" applyBorder="1"/>
    <xf numFmtId="0" fontId="38" fillId="0" borderId="0" xfId="0" applyFont="1"/>
    <xf numFmtId="0" fontId="38" fillId="0" borderId="0" xfId="0" applyFont="1" applyAlignment="1">
      <alignment wrapText="1"/>
    </xf>
    <xf numFmtId="0" fontId="50" fillId="3" borderId="11" xfId="0" applyFont="1" applyFill="1" applyBorder="1"/>
    <xf numFmtId="0" fontId="12" fillId="3" borderId="8" xfId="0" applyFont="1" applyFill="1" applyBorder="1"/>
    <xf numFmtId="0" fontId="38" fillId="0" borderId="9" xfId="0" applyFont="1" applyBorder="1"/>
    <xf numFmtId="166" fontId="0" fillId="0" borderId="9" xfId="0" applyNumberFormat="1" applyBorder="1"/>
    <xf numFmtId="1" fontId="0" fillId="0" borderId="9" xfId="0" applyNumberFormat="1" applyBorder="1"/>
    <xf numFmtId="0" fontId="0" fillId="0" borderId="9" xfId="0" applyFill="1" applyBorder="1"/>
    <xf numFmtId="0" fontId="0" fillId="0" borderId="10" xfId="0" applyFill="1" applyBorder="1"/>
    <xf numFmtId="164" fontId="0" fillId="0" borderId="14" xfId="0" applyNumberFormat="1" applyBorder="1"/>
    <xf numFmtId="0" fontId="45" fillId="9" borderId="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vertical="center"/>
    </xf>
    <xf numFmtId="0" fontId="12" fillId="3" borderId="9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1" fontId="12" fillId="3" borderId="26" xfId="0" applyNumberFormat="1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wrapText="1"/>
    </xf>
    <xf numFmtId="0" fontId="12" fillId="3" borderId="0" xfId="0" applyFont="1" applyFill="1" applyBorder="1" applyAlignment="1">
      <alignment horizontal="center" wrapText="1"/>
    </xf>
    <xf numFmtId="0" fontId="16" fillId="3" borderId="0" xfId="0" applyFont="1" applyFill="1" applyBorder="1" applyAlignment="1">
      <alignment horizontal="center"/>
    </xf>
    <xf numFmtId="1" fontId="16" fillId="3" borderId="28" xfId="0" applyNumberFormat="1" applyFont="1" applyFill="1" applyBorder="1" applyAlignment="1">
      <alignment horizontal="center"/>
    </xf>
    <xf numFmtId="164" fontId="16" fillId="3" borderId="0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1" fontId="16" fillId="3" borderId="26" xfId="0" applyNumberFormat="1" applyFont="1" applyFill="1" applyBorder="1" applyAlignment="1">
      <alignment horizontal="center"/>
    </xf>
    <xf numFmtId="1" fontId="16" fillId="3" borderId="0" xfId="0" applyNumberFormat="1" applyFont="1" applyFill="1" applyBorder="1" applyAlignment="1">
      <alignment horizontal="center"/>
    </xf>
    <xf numFmtId="0" fontId="16" fillId="3" borderId="14" xfId="0" applyFont="1" applyFill="1" applyBorder="1" applyAlignment="1">
      <alignment horizontal="center"/>
    </xf>
    <xf numFmtId="1" fontId="16" fillId="3" borderId="27" xfId="0" applyNumberFormat="1" applyFont="1" applyFill="1" applyBorder="1" applyAlignment="1">
      <alignment horizontal="center"/>
    </xf>
    <xf numFmtId="0" fontId="24" fillId="0" borderId="8" xfId="0" applyFont="1" applyBorder="1"/>
    <xf numFmtId="0" fontId="24" fillId="0" borderId="9" xfId="0" applyFont="1" applyBorder="1" applyAlignment="1">
      <alignment horizontal="center"/>
    </xf>
    <xf numFmtId="164" fontId="16" fillId="3" borderId="9" xfId="0" applyNumberFormat="1" applyFont="1" applyFill="1" applyBorder="1" applyAlignment="1">
      <alignment horizontal="center"/>
    </xf>
    <xf numFmtId="1" fontId="16" fillId="3" borderId="14" xfId="0" applyNumberFormat="1" applyFont="1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1" fontId="12" fillId="3" borderId="27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9" fillId="0" borderId="4" xfId="0" applyFont="1" applyBorder="1"/>
    <xf numFmtId="0" fontId="1" fillId="3" borderId="8" xfId="0" applyFont="1" applyFill="1" applyBorder="1"/>
    <xf numFmtId="164" fontId="0" fillId="0" borderId="0" xfId="0" applyNumberFormat="1" applyFill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26" fillId="3" borderId="4" xfId="0" applyFont="1" applyFill="1" applyBorder="1"/>
    <xf numFmtId="166" fontId="0" fillId="0" borderId="5" xfId="0" applyNumberFormat="1" applyFill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27" fillId="3" borderId="8" xfId="0" applyFont="1" applyFill="1" applyBorder="1"/>
    <xf numFmtId="0" fontId="12" fillId="3" borderId="9" xfId="0" applyFont="1" applyFill="1" applyBorder="1" applyAlignment="1">
      <alignment horizontal="left"/>
    </xf>
    <xf numFmtId="9" fontId="12" fillId="3" borderId="9" xfId="0" applyNumberFormat="1" applyFont="1" applyFill="1" applyBorder="1" applyAlignment="1">
      <alignment horizontal="center"/>
    </xf>
    <xf numFmtId="0" fontId="12" fillId="3" borderId="9" xfId="0" applyFont="1" applyFill="1" applyBorder="1"/>
    <xf numFmtId="0" fontId="28" fillId="3" borderId="11" xfId="0" applyFont="1" applyFill="1" applyBorder="1"/>
    <xf numFmtId="0" fontId="12" fillId="3" borderId="14" xfId="0" applyFont="1" applyFill="1" applyBorder="1" applyAlignment="1">
      <alignment horizontal="left"/>
    </xf>
    <xf numFmtId="0" fontId="12" fillId="0" borderId="14" xfId="0" applyFont="1" applyFill="1" applyBorder="1" applyAlignment="1">
      <alignment horizontal="center"/>
    </xf>
    <xf numFmtId="0" fontId="12" fillId="3" borderId="14" xfId="0" applyFont="1" applyFill="1" applyBorder="1"/>
    <xf numFmtId="0" fontId="14" fillId="4" borderId="27" xfId="1" applyFont="1" applyFill="1" applyBorder="1" applyAlignment="1">
      <alignment wrapText="1"/>
    </xf>
    <xf numFmtId="0" fontId="13" fillId="0" borderId="4" xfId="0" applyFont="1" applyFill="1" applyBorder="1" applyAlignment="1">
      <alignment horizontal="left"/>
    </xf>
    <xf numFmtId="0" fontId="13" fillId="0" borderId="5" xfId="0" applyFont="1" applyFill="1" applyBorder="1" applyAlignment="1">
      <alignment horizontal="left"/>
    </xf>
    <xf numFmtId="0" fontId="13" fillId="0" borderId="6" xfId="0" applyFont="1" applyFill="1" applyBorder="1" applyAlignment="1">
      <alignment horizontal="left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9" fontId="26" fillId="3" borderId="0" xfId="0" applyNumberFormat="1" applyFont="1" applyFill="1" applyBorder="1" applyAlignment="1">
      <alignment horizontal="center"/>
    </xf>
    <xf numFmtId="0" fontId="26" fillId="3" borderId="0" xfId="0" applyFont="1" applyFill="1" applyBorder="1" applyAlignment="1">
      <alignment horizontal="center"/>
    </xf>
    <xf numFmtId="9" fontId="26" fillId="3" borderId="12" xfId="0" applyNumberFormat="1" applyFont="1" applyFill="1" applyBorder="1" applyAlignment="1">
      <alignment horizontal="center"/>
    </xf>
    <xf numFmtId="167" fontId="26" fillId="3" borderId="12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9" fontId="27" fillId="3" borderId="12" xfId="0" applyNumberFormat="1" applyFont="1" applyFill="1" applyBorder="1" applyAlignment="1">
      <alignment horizontal="center"/>
    </xf>
    <xf numFmtId="9" fontId="26" fillId="5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9" fontId="26" fillId="3" borderId="15" xfId="0" applyNumberFormat="1" applyFont="1" applyFill="1" applyBorder="1" applyAlignment="1">
      <alignment horizontal="center"/>
    </xf>
    <xf numFmtId="16" fontId="26" fillId="3" borderId="0" xfId="0" applyNumberFormat="1" applyFont="1" applyFill="1" applyBorder="1" applyAlignment="1">
      <alignment horizontal="center" vertical="center"/>
    </xf>
    <xf numFmtId="1" fontId="0" fillId="0" borderId="26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14" fillId="4" borderId="25" xfId="1" applyFont="1" applyFill="1" applyBorder="1"/>
    <xf numFmtId="0" fontId="23" fillId="4" borderId="27" xfId="0" applyFont="1" applyFill="1" applyBorder="1" applyAlignment="1">
      <alignment wrapText="1"/>
    </xf>
    <xf numFmtId="0" fontId="12" fillId="3" borderId="28" xfId="0" applyFont="1" applyFill="1" applyBorder="1" applyAlignment="1">
      <alignment horizontal="left"/>
    </xf>
    <xf numFmtId="0" fontId="16" fillId="3" borderId="26" xfId="0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/>
    </xf>
    <xf numFmtId="0" fontId="16" fillId="3" borderId="27" xfId="0" applyFont="1" applyFill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67" fontId="12" fillId="3" borderId="28" xfId="0" applyNumberFormat="1" applyFont="1" applyFill="1" applyBorder="1" applyAlignment="1">
      <alignment horizontal="center"/>
    </xf>
    <xf numFmtId="9" fontId="16" fillId="3" borderId="28" xfId="0" applyNumberFormat="1" applyFont="1" applyFill="1" applyBorder="1" applyAlignment="1">
      <alignment horizontal="center"/>
    </xf>
    <xf numFmtId="9" fontId="12" fillId="3" borderId="27" xfId="0" applyNumberFormat="1" applyFont="1" applyFill="1" applyBorder="1" applyAlignment="1">
      <alignment horizontal="center"/>
    </xf>
    <xf numFmtId="164" fontId="12" fillId="3" borderId="12" xfId="0" applyNumberFormat="1" applyFont="1" applyFill="1" applyBorder="1" applyAlignment="1">
      <alignment horizontal="center"/>
    </xf>
    <xf numFmtId="0" fontId="14" fillId="4" borderId="8" xfId="1" applyFont="1" applyFill="1" applyBorder="1"/>
    <xf numFmtId="0" fontId="14" fillId="4" borderId="9" xfId="1" applyFont="1" applyFill="1" applyBorder="1" applyAlignment="1">
      <alignment wrapText="1"/>
    </xf>
    <xf numFmtId="0" fontId="14" fillId="4" borderId="9" xfId="1" applyFont="1" applyFill="1" applyBorder="1"/>
    <xf numFmtId="0" fontId="14" fillId="4" borderId="10" xfId="1" applyFont="1" applyFill="1" applyBorder="1"/>
    <xf numFmtId="0" fontId="13" fillId="4" borderId="13" xfId="0" applyFont="1" applyFill="1" applyBorder="1"/>
    <xf numFmtId="0" fontId="51" fillId="4" borderId="15" xfId="0" applyFont="1" applyFill="1" applyBorder="1" applyAlignment="1">
      <alignment wrapText="1"/>
    </xf>
    <xf numFmtId="0" fontId="23" fillId="0" borderId="0" xfId="0" applyFont="1"/>
    <xf numFmtId="0" fontId="26" fillId="0" borderId="0" xfId="0" applyFont="1"/>
    <xf numFmtId="0" fontId="16" fillId="4" borderId="5" xfId="0" applyFont="1" applyFill="1" applyBorder="1" applyAlignment="1">
      <alignment wrapText="1"/>
    </xf>
    <xf numFmtId="0" fontId="14" fillId="4" borderId="4" xfId="1" applyFont="1" applyFill="1" applyBorder="1" applyAlignment="1">
      <alignment wrapText="1"/>
    </xf>
    <xf numFmtId="0" fontId="14" fillId="4" borderId="6" xfId="1" applyFont="1" applyFill="1" applyBorder="1" applyAlignment="1">
      <alignment wrapText="1"/>
    </xf>
    <xf numFmtId="164" fontId="52" fillId="0" borderId="9" xfId="0" applyNumberFormat="1" applyFont="1" applyBorder="1" applyAlignment="1">
      <alignment horizontal="center"/>
    </xf>
    <xf numFmtId="164" fontId="52" fillId="0" borderId="0" xfId="0" applyNumberFormat="1" applyFont="1" applyBorder="1" applyAlignment="1">
      <alignment horizontal="center"/>
    </xf>
    <xf numFmtId="164" fontId="52" fillId="0" borderId="14" xfId="0" applyNumberFormat="1" applyFont="1" applyBorder="1" applyAlignment="1">
      <alignment horizontal="center"/>
    </xf>
    <xf numFmtId="0" fontId="53" fillId="0" borderId="0" xfId="0" applyFont="1"/>
    <xf numFmtId="0" fontId="52" fillId="0" borderId="0" xfId="0" applyFont="1"/>
    <xf numFmtId="0" fontId="52" fillId="0" borderId="0" xfId="0" applyFont="1" applyAlignment="1">
      <alignment wrapText="1"/>
    </xf>
    <xf numFmtId="0" fontId="54" fillId="0" borderId="0" xfId="0" applyFont="1"/>
    <xf numFmtId="164" fontId="52" fillId="0" borderId="0" xfId="0" applyNumberFormat="1" applyFont="1" applyAlignment="1">
      <alignment horizontal="center"/>
    </xf>
    <xf numFmtId="0" fontId="3" fillId="0" borderId="25" xfId="0" applyFont="1" applyFill="1" applyBorder="1" applyAlignment="1">
      <alignment vertical="center" wrapText="1"/>
    </xf>
    <xf numFmtId="2" fontId="0" fillId="0" borderId="9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/>
    </xf>
    <xf numFmtId="0" fontId="42" fillId="0" borderId="0" xfId="2" applyAlignment="1">
      <alignment vertical="center"/>
    </xf>
    <xf numFmtId="0" fontId="45" fillId="9" borderId="0" xfId="0" applyFont="1" applyFill="1" applyAlignment="1">
      <alignment vertical="center" wrapText="1"/>
    </xf>
    <xf numFmtId="0" fontId="45" fillId="9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0" fillId="0" borderId="0" xfId="0" applyAlignment="1">
      <alignment wrapText="1"/>
    </xf>
    <xf numFmtId="164" fontId="12" fillId="3" borderId="26" xfId="0" applyNumberFormat="1" applyFont="1" applyFill="1" applyBorder="1" applyAlignment="1">
      <alignment horizontal="center" vertical="center"/>
    </xf>
    <xf numFmtId="164" fontId="12" fillId="3" borderId="28" xfId="0" applyNumberFormat="1" applyFont="1" applyFill="1" applyBorder="1" applyAlignment="1">
      <alignment horizontal="center" vertical="center"/>
    </xf>
    <xf numFmtId="164" fontId="12" fillId="3" borderId="0" xfId="0" applyNumberFormat="1" applyFont="1" applyFill="1" applyBorder="1" applyAlignment="1">
      <alignment horizontal="center" vertical="center"/>
    </xf>
    <xf numFmtId="164" fontId="12" fillId="3" borderId="15" xfId="0" applyNumberFormat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0" fillId="10" borderId="0" xfId="0" applyFill="1"/>
    <xf numFmtId="0" fontId="55" fillId="10" borderId="0" xfId="0" applyFont="1" applyFill="1" applyAlignment="1">
      <alignment wrapText="1"/>
    </xf>
    <xf numFmtId="0" fontId="0" fillId="10" borderId="0" xfId="0" applyFill="1" applyAlignment="1">
      <alignment wrapText="1"/>
    </xf>
    <xf numFmtId="0" fontId="53" fillId="10" borderId="0" xfId="0" applyFont="1" applyFill="1"/>
    <xf numFmtId="0" fontId="56" fillId="10" borderId="0" xfId="2" applyFont="1" applyFill="1" applyAlignment="1">
      <alignment wrapText="1"/>
    </xf>
    <xf numFmtId="0" fontId="53" fillId="10" borderId="0" xfId="0" applyFont="1" applyFill="1" applyAlignment="1">
      <alignment wrapText="1"/>
    </xf>
    <xf numFmtId="0" fontId="1" fillId="0" borderId="0" xfId="0" applyFont="1" applyAlignment="1"/>
    <xf numFmtId="0" fontId="0" fillId="0" borderId="0" xfId="0" applyAlignment="1"/>
    <xf numFmtId="0" fontId="0" fillId="0" borderId="14" xfId="0" applyBorder="1" applyAlignment="1"/>
    <xf numFmtId="0" fontId="46" fillId="9" borderId="0" xfId="0" applyFont="1" applyFill="1" applyAlignment="1">
      <alignment vertical="center" wrapText="1"/>
    </xf>
    <xf numFmtId="0" fontId="43" fillId="0" borderId="32" xfId="0" applyFont="1" applyBorder="1" applyAlignment="1">
      <alignment vertical="center" wrapText="1"/>
    </xf>
    <xf numFmtId="0" fontId="45" fillId="9" borderId="33" xfId="0" applyFont="1" applyFill="1" applyBorder="1" applyAlignment="1">
      <alignment vertical="center" wrapText="1"/>
    </xf>
    <xf numFmtId="0" fontId="45" fillId="9" borderId="0" xfId="0" applyFont="1" applyFill="1" applyAlignment="1">
      <alignment vertical="center" wrapText="1"/>
    </xf>
    <xf numFmtId="0" fontId="45" fillId="9" borderId="33" xfId="0" applyFont="1" applyFill="1" applyBorder="1" applyAlignment="1">
      <alignment horizontal="center" vertical="center" wrapText="1"/>
    </xf>
    <xf numFmtId="0" fontId="45" fillId="9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46" fillId="0" borderId="32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9" fillId="0" borderId="14" xfId="0" applyFont="1" applyBorder="1" applyAlignment="1">
      <alignment horizontal="center"/>
    </xf>
    <xf numFmtId="0" fontId="2" fillId="0" borderId="0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0" fillId="0" borderId="14" xfId="0" applyBorder="1" applyAlignment="1">
      <alignment horizontal="center"/>
    </xf>
    <xf numFmtId="0" fontId="9" fillId="8" borderId="4" xfId="0" applyFont="1" applyFill="1" applyBorder="1" applyAlignment="1">
      <alignment vertical="center" wrapText="1"/>
    </xf>
    <xf numFmtId="0" fontId="0" fillId="0" borderId="5" xfId="0" applyBorder="1" applyAlignment="1"/>
    <xf numFmtId="0" fontId="30" fillId="8" borderId="11" xfId="0" applyFont="1" applyFill="1" applyBorder="1" applyAlignment="1">
      <alignment vertical="center" wrapText="1"/>
    </xf>
    <xf numFmtId="0" fontId="30" fillId="8" borderId="0" xfId="0" applyFont="1" applyFill="1" applyBorder="1" applyAlignment="1">
      <alignment vertical="center" wrapText="1"/>
    </xf>
    <xf numFmtId="0" fontId="38" fillId="0" borderId="30" xfId="0" applyFont="1" applyBorder="1" applyAlignment="1">
      <alignment vertical="center" wrapText="1"/>
    </xf>
    <xf numFmtId="0" fontId="38" fillId="0" borderId="29" xfId="0" applyFont="1" applyBorder="1" applyAlignment="1">
      <alignment vertical="center" wrapText="1"/>
    </xf>
    <xf numFmtId="0" fontId="36" fillId="8" borderId="8" xfId="0" applyFont="1" applyFill="1" applyBorder="1" applyAlignment="1">
      <alignment vertical="center" wrapText="1"/>
    </xf>
    <xf numFmtId="0" fontId="0" fillId="0" borderId="9" xfId="0" applyBorder="1" applyAlignment="1"/>
    <xf numFmtId="0" fontId="36" fillId="8" borderId="13" xfId="0" applyFont="1" applyFill="1" applyBorder="1" applyAlignment="1">
      <alignment vertical="center" wrapText="1"/>
    </xf>
    <xf numFmtId="0" fontId="9" fillId="8" borderId="5" xfId="0" applyFont="1" applyFill="1" applyBorder="1" applyAlignment="1">
      <alignment vertical="center" wrapText="1"/>
    </xf>
    <xf numFmtId="0" fontId="36" fillId="8" borderId="9" xfId="0" applyFont="1" applyFill="1" applyBorder="1" applyAlignment="1">
      <alignment vertical="center" wrapText="1"/>
    </xf>
    <xf numFmtId="0" fontId="36" fillId="8" borderId="14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42" fillId="10" borderId="0" xfId="2" applyFill="1" applyAlignment="1">
      <alignment wrapText="1"/>
    </xf>
  </cellXfs>
  <cellStyles count="3">
    <cellStyle name="Link" xfId="2" builtinId="8"/>
    <cellStyle name="Normal" xfId="0" builtinId="0"/>
    <cellStyle name="Titel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9</xdr:col>
      <xdr:colOff>193301</xdr:colOff>
      <xdr:row>127</xdr:row>
      <xdr:rowOff>9526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A9C66000-3693-4A79-B343-ADC6CD0DF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13668375" cy="1220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1009650</xdr:colOff>
      <xdr:row>115</xdr:row>
      <xdr:rowOff>19050</xdr:rowOff>
    </xdr:from>
    <xdr:to>
      <xdr:col>8</xdr:col>
      <xdr:colOff>202827</xdr:colOff>
      <xdr:row>221</xdr:row>
      <xdr:rowOff>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19BA74CB-0FDC-493B-BCA0-F0BDFFB7D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9345275"/>
          <a:ext cx="12449175" cy="1613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895350</xdr:colOff>
      <xdr:row>218</xdr:row>
      <xdr:rowOff>0</xdr:rowOff>
    </xdr:from>
    <xdr:to>
      <xdr:col>8</xdr:col>
      <xdr:colOff>1494</xdr:colOff>
      <xdr:row>275</xdr:row>
      <xdr:rowOff>28574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3C3C43BC-E0E7-450A-8188-A64B209E0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5023425"/>
          <a:ext cx="12220575" cy="871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6432237</xdr:colOff>
      <xdr:row>0</xdr:row>
      <xdr:rowOff>173737</xdr:rowOff>
    </xdr:from>
    <xdr:to>
      <xdr:col>2</xdr:col>
      <xdr:colOff>377746</xdr:colOff>
      <xdr:row>2</xdr:row>
      <xdr:rowOff>114300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C3A75110-0291-4CD5-86F5-539B7B4D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362" y="173737"/>
          <a:ext cx="2527534" cy="321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38100</xdr:rowOff>
    </xdr:from>
    <xdr:to>
      <xdr:col>9</xdr:col>
      <xdr:colOff>219075</xdr:colOff>
      <xdr:row>66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C9D6B4FD-D011-429D-9F6E-BD236472C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39825"/>
          <a:ext cx="100488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</xdr:row>
      <xdr:rowOff>114300</xdr:rowOff>
    </xdr:from>
    <xdr:to>
      <xdr:col>4</xdr:col>
      <xdr:colOff>356419</xdr:colOff>
      <xdr:row>43</xdr:row>
      <xdr:rowOff>4916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B29D531-B5AD-426E-9335-9F5602C0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71500"/>
          <a:ext cx="2432869" cy="5986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400050</xdr:colOff>
      <xdr:row>3</xdr:row>
      <xdr:rowOff>28575</xdr:rowOff>
    </xdr:from>
    <xdr:to>
      <xdr:col>7</xdr:col>
      <xdr:colOff>577338</xdr:colOff>
      <xdr:row>46</xdr:row>
      <xdr:rowOff>47932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9A526D3A-31A7-4C78-BC52-699B24772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485775"/>
          <a:ext cx="2006088" cy="657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485775</xdr:colOff>
      <xdr:row>3</xdr:row>
      <xdr:rowOff>85725</xdr:rowOff>
    </xdr:from>
    <xdr:to>
      <xdr:col>12</xdr:col>
      <xdr:colOff>243963</xdr:colOff>
      <xdr:row>41</xdr:row>
      <xdr:rowOff>117987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8B80C85-F6DE-427E-A2E8-409583497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542925"/>
          <a:ext cx="2196588" cy="5823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123825</xdr:rowOff>
    </xdr:from>
    <xdr:to>
      <xdr:col>14</xdr:col>
      <xdr:colOff>95250</xdr:colOff>
      <xdr:row>27</xdr:row>
      <xdr:rowOff>95250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2038E53C-9847-490D-AFE9-CEF0A981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76225"/>
          <a:ext cx="9820275" cy="393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104775</xdr:rowOff>
    </xdr:from>
    <xdr:to>
      <xdr:col>13</xdr:col>
      <xdr:colOff>447675</xdr:colOff>
      <xdr:row>60</xdr:row>
      <xdr:rowOff>47625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7957A28-CFC9-4D93-A852-80325FA3B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29175"/>
          <a:ext cx="9858375" cy="436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85725</xdr:rowOff>
    </xdr:from>
    <xdr:to>
      <xdr:col>14</xdr:col>
      <xdr:colOff>295275</xdr:colOff>
      <xdr:row>97</xdr:row>
      <xdr:rowOff>123825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D98823E-CF48-41A2-B71E-B705C8622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4525"/>
          <a:ext cx="10315575" cy="537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542171</xdr:colOff>
      <xdr:row>31</xdr:row>
      <xdr:rowOff>94667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DBE35C5-B6C9-435D-BAB8-8A152C67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"/>
          <a:ext cx="6028571" cy="4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409575</xdr:colOff>
      <xdr:row>36</xdr:row>
      <xdr:rowOff>104775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3AB571E-C220-4DE2-86BE-E09A3D500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6800"/>
          <a:ext cx="58959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21</xdr:col>
      <xdr:colOff>180975</xdr:colOff>
      <xdr:row>15</xdr:row>
      <xdr:rowOff>95250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652D57B-46E6-4FF8-B1B3-AC85184D4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914400"/>
          <a:ext cx="627697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\Desktop\CSR_PORK_tool_version1_17092019%20(3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 tables"/>
      <sheetName val="manure technologies sows"/>
      <sheetName val="technologies sows"/>
      <sheetName val="Sow-piglet"/>
      <sheetName val="Weaners"/>
      <sheetName val="Slaughter pigs"/>
      <sheetName val="Slaughterhouse"/>
      <sheetName val="manure technologies weaners"/>
      <sheetName val="technologies weaners"/>
      <sheetName val="manure technologies slpigs"/>
      <sheetName val="technologies slpigs"/>
      <sheetName val="Farm_data"/>
      <sheetName val="On-farm-feed_production"/>
      <sheetName val="Modelling of env. emission"/>
      <sheetName val="Manure_management"/>
      <sheetName val="Results"/>
      <sheetName val="Standards"/>
      <sheetName val="Emission_Factors"/>
      <sheetName val="NH3-m2"/>
      <sheetName val="VSP_Feedstuff_table"/>
      <sheetName val="feed_ILCD(2011)"/>
      <sheetName val="Impact_Inputs"/>
      <sheetName val="SimaPro-env-impact-inputs"/>
      <sheetName val="anaerobic digestion manure"/>
      <sheetName val="contribution"/>
      <sheetName val="Emission_Factors (2)"/>
      <sheetName val="contribution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E4">
            <v>2016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svineproduktion.dk/Publikationer/Kilder/Notater/2020/2014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retsinformation.dk/eli/lta/2019/1261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sp.landbrugsinfo.dk/Afrapportering/business/2020/Filer/SV_20_5542_Normtal_svineproduktion_dokumentation.pdf" TargetMode="External"/><Relationship Id="rId1" Type="http://schemas.openxmlformats.org/officeDocument/2006/relationships/hyperlink" Target="file:///\\tilskudsprojekter\Seges\Tilskudsprojekter\2020\330_KompVaekst\5542_Landbrugsbedriftens%20b&#230;redygtighedsplatform\02_Leverancer\2040%20AP4%20Fastl&#230;ggelse%20af%20normtal\Normtal-svin.xlsx" TargetMode="Externa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envs.au.dk/en/research-areas/air-pollution-emissions-and-effects/air-emissions/greenhouse-gases/supporting-documentation/" TargetMode="External"/><Relationship Id="rId1" Type="http://schemas.openxmlformats.org/officeDocument/2006/relationships/hyperlink" Target="https://www.ipcc-nggip.iges.or.jp/public/2006gl/pdf/4_Volume4/V4_10_Ch10_Livestock.pdf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hyperlink" Target="https://envs.au.dk/en/research-areas/air-pollution-emissions-and-effects/air-emissions/greenhouse-gases/supporting-documentation/" TargetMode="External"/><Relationship Id="rId1" Type="http://schemas.openxmlformats.org/officeDocument/2006/relationships/hyperlink" Target="https://www.ipcc-nggip.iges.or.jp/public/2006gl/pdf/4_Volume4/V4_10_Ch10_Livestock.pdf" TargetMode="External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F281B-7B57-4201-B718-B2FF64489124}">
  <dimension ref="A2:AN28"/>
  <sheetViews>
    <sheetView workbookViewId="0">
      <selection activeCell="A28" sqref="A28"/>
    </sheetView>
  </sheetViews>
  <sheetFormatPr defaultRowHeight="12" x14ac:dyDescent="0.2"/>
  <cols>
    <col min="2" max="2" width="8.42578125" customWidth="1"/>
    <col min="3" max="3" width="37.5703125" customWidth="1"/>
    <col min="4" max="4" width="12.5703125" customWidth="1"/>
    <col min="5" max="5" width="11" customWidth="1"/>
    <col min="6" max="6" width="10.85546875" customWidth="1"/>
    <col min="7" max="7" width="12.85546875" customWidth="1"/>
    <col min="8" max="8" width="11.5703125" customWidth="1"/>
    <col min="9" max="9" width="12.28515625" customWidth="1"/>
    <col min="20" max="20" width="9.28515625" customWidth="1"/>
    <col min="21" max="21" width="10" customWidth="1"/>
    <col min="26" max="26" width="14.85546875" customWidth="1"/>
    <col min="39" max="39" width="9.42578125" bestFit="1" customWidth="1"/>
  </cols>
  <sheetData>
    <row r="2" spans="1:39" x14ac:dyDescent="0.2">
      <c r="G2" t="s">
        <v>283</v>
      </c>
    </row>
    <row r="4" spans="1:39" ht="15.75" x14ac:dyDescent="0.25">
      <c r="G4" s="2" t="s">
        <v>203</v>
      </c>
    </row>
    <row r="5" spans="1:39" ht="16.5" thickBot="1" x14ac:dyDescent="0.3">
      <c r="G5" s="443" t="s">
        <v>177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5"/>
      <c r="AF5" s="445"/>
      <c r="AG5" s="445"/>
      <c r="AH5" s="445"/>
      <c r="AI5" s="188"/>
      <c r="AJ5" s="188"/>
    </row>
    <row r="6" spans="1:39" ht="66" customHeight="1" thickBot="1" x14ac:dyDescent="0.25">
      <c r="C6" s="56" t="s">
        <v>37</v>
      </c>
      <c r="D6" s="30" t="s">
        <v>45</v>
      </c>
      <c r="E6" s="31" t="s">
        <v>187</v>
      </c>
      <c r="F6" s="31" t="s">
        <v>48</v>
      </c>
      <c r="G6" s="30" t="s">
        <v>25</v>
      </c>
      <c r="H6" s="31" t="s">
        <v>26</v>
      </c>
      <c r="I6" s="31" t="s">
        <v>30</v>
      </c>
      <c r="J6" s="30" t="s">
        <v>27</v>
      </c>
      <c r="K6" s="31" t="s">
        <v>28</v>
      </c>
      <c r="L6" s="31" t="s">
        <v>31</v>
      </c>
      <c r="M6" s="31" t="s">
        <v>32</v>
      </c>
      <c r="N6" s="31" t="s">
        <v>29</v>
      </c>
      <c r="O6" s="31" t="s">
        <v>265</v>
      </c>
      <c r="P6" s="31" t="s">
        <v>33</v>
      </c>
      <c r="Q6" s="31" t="s">
        <v>179</v>
      </c>
      <c r="R6" s="31" t="s">
        <v>98</v>
      </c>
      <c r="S6" s="31" t="s">
        <v>34</v>
      </c>
      <c r="T6" s="31" t="s">
        <v>99</v>
      </c>
      <c r="U6" s="31" t="s">
        <v>274</v>
      </c>
      <c r="V6" s="31" t="s">
        <v>156</v>
      </c>
      <c r="W6" s="31" t="s">
        <v>285</v>
      </c>
      <c r="X6" s="31" t="s">
        <v>277</v>
      </c>
      <c r="Y6" s="31" t="s">
        <v>41</v>
      </c>
      <c r="Z6" s="31" t="s">
        <v>43</v>
      </c>
      <c r="AA6" s="31" t="s">
        <v>36</v>
      </c>
      <c r="AB6" s="31" t="s">
        <v>39</v>
      </c>
      <c r="AC6" s="31" t="s">
        <v>290</v>
      </c>
      <c r="AD6" s="31" t="s">
        <v>280</v>
      </c>
      <c r="AE6" s="31" t="s">
        <v>159</v>
      </c>
      <c r="AF6" s="31" t="s">
        <v>291</v>
      </c>
      <c r="AG6" s="31" t="s">
        <v>294</v>
      </c>
      <c r="AH6" s="31" t="s">
        <v>292</v>
      </c>
      <c r="AI6" s="31" t="s">
        <v>304</v>
      </c>
      <c r="AJ6" s="31" t="s">
        <v>305</v>
      </c>
      <c r="AK6" s="185" t="s">
        <v>288</v>
      </c>
      <c r="AL6" s="32" t="s">
        <v>300</v>
      </c>
      <c r="AM6" s="32" t="s">
        <v>301</v>
      </c>
    </row>
    <row r="7" spans="1:39" ht="57.75" customHeight="1" thickBot="1" x14ac:dyDescent="0.25">
      <c r="A7" t="s">
        <v>306</v>
      </c>
      <c r="B7" t="s">
        <v>287</v>
      </c>
      <c r="C7" s="56" t="s">
        <v>258</v>
      </c>
      <c r="D7" s="30" t="s">
        <v>259</v>
      </c>
      <c r="E7" s="31" t="s">
        <v>259</v>
      </c>
      <c r="F7" s="31" t="s">
        <v>261</v>
      </c>
      <c r="G7" s="30" t="s">
        <v>260</v>
      </c>
      <c r="H7" s="31" t="s">
        <v>261</v>
      </c>
      <c r="I7" s="31" t="s">
        <v>266</v>
      </c>
      <c r="J7" s="31" t="s">
        <v>266</v>
      </c>
      <c r="K7" s="31" t="s">
        <v>262</v>
      </c>
      <c r="L7" s="31" t="s">
        <v>263</v>
      </c>
      <c r="M7" s="31" t="s">
        <v>284</v>
      </c>
      <c r="N7" s="31" t="s">
        <v>264</v>
      </c>
      <c r="O7" s="31" t="s">
        <v>259</v>
      </c>
      <c r="P7" s="31" t="s">
        <v>266</v>
      </c>
      <c r="Q7" s="31" t="s">
        <v>266</v>
      </c>
      <c r="R7" s="31" t="s">
        <v>266</v>
      </c>
      <c r="S7" s="31" t="s">
        <v>266</v>
      </c>
      <c r="T7" s="31" t="s">
        <v>278</v>
      </c>
      <c r="U7" s="31" t="s">
        <v>267</v>
      </c>
      <c r="V7" s="31"/>
      <c r="W7" s="31" t="s">
        <v>266</v>
      </c>
      <c r="X7" s="31" t="s">
        <v>286</v>
      </c>
      <c r="Y7" s="31" t="s">
        <v>267</v>
      </c>
      <c r="Z7" s="31" t="s">
        <v>266</v>
      </c>
      <c r="AA7" s="31" t="s">
        <v>266</v>
      </c>
      <c r="AB7" s="31" t="s">
        <v>266</v>
      </c>
      <c r="AC7" s="31" t="s">
        <v>293</v>
      </c>
      <c r="AD7" s="31"/>
      <c r="AE7" s="31" t="s">
        <v>17</v>
      </c>
      <c r="AF7" s="31"/>
      <c r="AG7" s="31"/>
      <c r="AH7" s="31"/>
      <c r="AI7" s="31"/>
      <c r="AJ7" s="31"/>
      <c r="AK7" s="184"/>
      <c r="AL7" s="186"/>
      <c r="AM7" s="184"/>
    </row>
    <row r="8" spans="1:39" ht="12.75" x14ac:dyDescent="0.2">
      <c r="C8" s="8" t="s">
        <v>44</v>
      </c>
      <c r="D8" s="8" t="s">
        <v>46</v>
      </c>
      <c r="E8" s="8">
        <v>100</v>
      </c>
      <c r="F8" s="8">
        <v>5</v>
      </c>
      <c r="G8">
        <v>31</v>
      </c>
      <c r="H8">
        <v>86.25</v>
      </c>
      <c r="I8" s="4">
        <f>+H8*1.31</f>
        <v>112.98750000000001</v>
      </c>
      <c r="J8" s="4">
        <f>+I8-G8</f>
        <v>81.987500000000011</v>
      </c>
      <c r="K8">
        <v>2.77</v>
      </c>
      <c r="L8">
        <v>147.69999999999999</v>
      </c>
      <c r="M8">
        <v>0.81</v>
      </c>
      <c r="N8">
        <v>6.25</v>
      </c>
      <c r="O8">
        <v>29.6</v>
      </c>
      <c r="P8" s="3">
        <f>+(L8*K8)/N8-O8</f>
        <v>35.860639999999997</v>
      </c>
      <c r="Q8" s="7">
        <f>+(F8*0.0033)/6.25</f>
        <v>2.64E-3</v>
      </c>
      <c r="R8" s="7">
        <f>+J8*P8/1000+Q8</f>
        <v>2.9427642220000001</v>
      </c>
      <c r="S8" s="3">
        <f>+R8-T8</f>
        <v>1.0223613021799998</v>
      </c>
      <c r="T8" s="3">
        <f>+((L8*K8)*M8/N8-O8)/1000*J8</f>
        <v>1.9204029198200003</v>
      </c>
      <c r="U8">
        <v>21</v>
      </c>
      <c r="W8" s="7">
        <f>+T8*U8/100</f>
        <v>0.4032846131622001</v>
      </c>
      <c r="X8" s="7"/>
      <c r="Y8" s="5">
        <v>1</v>
      </c>
      <c r="Z8" s="7">
        <f>+W8*Y8</f>
        <v>0.4032846131622001</v>
      </c>
      <c r="AA8" s="7">
        <f>+R8-Z8</f>
        <v>2.5394796088377998</v>
      </c>
      <c r="AB8" s="7">
        <f>+T8-Z8</f>
        <v>1.5171183066578002</v>
      </c>
      <c r="AC8" s="7">
        <v>0.2</v>
      </c>
      <c r="AD8" s="179">
        <f>+R8*(AC8/100)*44/28</f>
        <v>9.2486875548571431E-3</v>
      </c>
      <c r="AE8">
        <v>298</v>
      </c>
      <c r="AF8">
        <f>+AD8*AE8</f>
        <v>2.7561088913474285</v>
      </c>
      <c r="AG8" s="97">
        <f>+T8*U8/100*44/28*0.01</f>
        <v>6.3373296354060013E-3</v>
      </c>
      <c r="AH8">
        <f>+AG8*AE8</f>
        <v>1.8885242313509885</v>
      </c>
      <c r="AI8" s="97">
        <f>+AD8*298</f>
        <v>2.7561088913474285</v>
      </c>
      <c r="AJ8" s="97">
        <f>+AG8*298</f>
        <v>1.8885242313509885</v>
      </c>
      <c r="AK8">
        <v>31000</v>
      </c>
      <c r="AL8" s="3">
        <f>+AI8*AK8/1000</f>
        <v>85.439375631770275</v>
      </c>
      <c r="AM8" s="3">
        <f>+AJ8*AK8/1000</f>
        <v>58.544251171880639</v>
      </c>
    </row>
    <row r="9" spans="1:39" x14ac:dyDescent="0.2">
      <c r="W9" s="7"/>
      <c r="X9" s="7"/>
    </row>
    <row r="10" spans="1:39" x14ac:dyDescent="0.2">
      <c r="W10" s="7"/>
      <c r="X10" s="7"/>
    </row>
    <row r="11" spans="1:39" x14ac:dyDescent="0.2">
      <c r="W11" s="7"/>
      <c r="X11" s="7"/>
    </row>
    <row r="12" spans="1:39" x14ac:dyDescent="0.2">
      <c r="C12" s="97" t="s">
        <v>47</v>
      </c>
      <c r="D12" t="s">
        <v>47</v>
      </c>
      <c r="E12">
        <v>100</v>
      </c>
      <c r="F12">
        <v>70</v>
      </c>
      <c r="G12">
        <v>31</v>
      </c>
      <c r="H12">
        <v>86.25</v>
      </c>
      <c r="I12" s="4">
        <f>+H12*1.31</f>
        <v>112.98750000000001</v>
      </c>
      <c r="J12" s="4">
        <f>+I12-G12</f>
        <v>81.987500000000011</v>
      </c>
      <c r="K12">
        <v>2.77</v>
      </c>
      <c r="L12">
        <v>147.69999999999999</v>
      </c>
      <c r="M12">
        <v>0.81</v>
      </c>
      <c r="N12">
        <v>6.25</v>
      </c>
      <c r="O12">
        <v>29.6</v>
      </c>
      <c r="P12" s="3">
        <f>+(L12*K12)/N12-O12</f>
        <v>35.860639999999997</v>
      </c>
      <c r="Q12" s="7">
        <f>+(F12*0.0033)/6.25</f>
        <v>3.696E-2</v>
      </c>
      <c r="R12" s="7">
        <f>+J12*P12/1000+Q12</f>
        <v>2.9770842220000002</v>
      </c>
      <c r="S12" s="3">
        <f>+R12-T12</f>
        <v>1.0566813021799999</v>
      </c>
      <c r="T12" s="3">
        <f>+((L12*K12)*M12/N12-O12)/1000*J12</f>
        <v>1.9204029198200003</v>
      </c>
      <c r="U12">
        <v>0.23</v>
      </c>
      <c r="V12">
        <v>0</v>
      </c>
      <c r="W12" s="7">
        <f t="shared" ref="W12" si="0">+T12*U12</f>
        <v>0.44169267155860009</v>
      </c>
      <c r="X12" s="7"/>
      <c r="Y12" s="5">
        <v>1</v>
      </c>
      <c r="Z12" s="7">
        <f>+W12*Y12</f>
        <v>0.44169267155860009</v>
      </c>
      <c r="AA12" s="7">
        <f>+R12-Z12</f>
        <v>2.5353915504414002</v>
      </c>
      <c r="AB12" s="7">
        <f>+T12-Z12</f>
        <v>1.4787102482614003</v>
      </c>
      <c r="AC12" s="7"/>
      <c r="AD12" s="7"/>
    </row>
    <row r="13" spans="1:39" x14ac:dyDescent="0.2">
      <c r="J13" s="4"/>
      <c r="P13" s="3"/>
      <c r="Q13" s="7"/>
      <c r="R13" s="7"/>
      <c r="S13" s="3"/>
      <c r="T13" s="3"/>
      <c r="W13" s="7"/>
      <c r="X13" s="7"/>
    </row>
    <row r="14" spans="1:39" x14ac:dyDescent="0.2">
      <c r="J14" s="4"/>
      <c r="P14" s="3"/>
      <c r="Q14" s="7"/>
      <c r="R14" s="7"/>
      <c r="S14" s="3"/>
      <c r="T14" s="3"/>
      <c r="W14" s="7"/>
      <c r="X14" s="7"/>
    </row>
    <row r="15" spans="1:39" ht="25.5" x14ac:dyDescent="0.2">
      <c r="C15" s="22" t="s">
        <v>185</v>
      </c>
      <c r="D15" t="s">
        <v>46</v>
      </c>
      <c r="E15">
        <v>100</v>
      </c>
      <c r="F15">
        <v>30</v>
      </c>
      <c r="G15">
        <v>31</v>
      </c>
      <c r="H15">
        <v>86.25</v>
      </c>
      <c r="I15" s="4">
        <f>+H15*1.31</f>
        <v>112.98750000000001</v>
      </c>
      <c r="J15" s="4">
        <f t="shared" ref="J15" si="1">+I15-G15</f>
        <v>81.987500000000011</v>
      </c>
      <c r="K15">
        <v>2.94</v>
      </c>
      <c r="L15">
        <v>166</v>
      </c>
      <c r="M15">
        <v>0.81</v>
      </c>
      <c r="N15">
        <v>6.25</v>
      </c>
      <c r="O15">
        <v>29.6</v>
      </c>
      <c r="P15" s="3">
        <f t="shared" ref="P15" si="2">+(L15*K15)/N15-O15</f>
        <v>48.486399999999996</v>
      </c>
      <c r="Q15" s="7">
        <f t="shared" ref="Q15" si="3">+(F15*0.0033)/6.25</f>
        <v>1.584E-2</v>
      </c>
      <c r="R15" s="7">
        <f t="shared" ref="R15" si="4">+J15*P15/1000+Q15</f>
        <v>3.9911187200000002</v>
      </c>
      <c r="S15" s="3">
        <f t="shared" ref="S15" si="5">+R15-T15</f>
        <v>1.2322406568000002</v>
      </c>
      <c r="T15" s="3">
        <f t="shared" ref="T15" si="6">+((L15*K15)*M15/N15-O15)/1000*J15</f>
        <v>2.7588780632000001</v>
      </c>
      <c r="U15">
        <v>0.37</v>
      </c>
      <c r="W15" s="7">
        <f>+T15*U15</f>
        <v>1.0207848833840001</v>
      </c>
      <c r="X15" s="7"/>
    </row>
    <row r="16" spans="1:39" ht="12.75" x14ac:dyDescent="0.2">
      <c r="C16" s="22" t="s">
        <v>107</v>
      </c>
    </row>
    <row r="19" spans="3:40" ht="16.5" thickBot="1" x14ac:dyDescent="0.3">
      <c r="G19" s="2" t="s">
        <v>204</v>
      </c>
    </row>
    <row r="20" spans="3:40" ht="60.75" thickBot="1" x14ac:dyDescent="0.25">
      <c r="C20" t="s">
        <v>37</v>
      </c>
      <c r="D20" t="s">
        <v>45</v>
      </c>
      <c r="F20" s="1" t="s">
        <v>48</v>
      </c>
      <c r="G20" t="s">
        <v>25</v>
      </c>
      <c r="H20" s="1"/>
      <c r="I20" s="1" t="s">
        <v>178</v>
      </c>
      <c r="J20" t="s">
        <v>27</v>
      </c>
      <c r="K20" s="1" t="s">
        <v>28</v>
      </c>
      <c r="L20" s="1" t="s">
        <v>31</v>
      </c>
      <c r="M20" s="1" t="s">
        <v>32</v>
      </c>
      <c r="N20" s="1" t="s">
        <v>29</v>
      </c>
      <c r="O20" s="1" t="s">
        <v>97</v>
      </c>
      <c r="P20" s="1" t="s">
        <v>33</v>
      </c>
      <c r="Q20" s="1" t="s">
        <v>49</v>
      </c>
      <c r="R20" s="1" t="s">
        <v>98</v>
      </c>
      <c r="S20" s="1" t="s">
        <v>34</v>
      </c>
      <c r="T20" s="1" t="s">
        <v>99</v>
      </c>
      <c r="U20" s="1" t="s">
        <v>155</v>
      </c>
      <c r="V20" s="1" t="s">
        <v>156</v>
      </c>
      <c r="W20" s="1" t="s">
        <v>35</v>
      </c>
      <c r="X20" s="1"/>
      <c r="Y20" s="1" t="s">
        <v>41</v>
      </c>
      <c r="Z20" s="1" t="s">
        <v>43</v>
      </c>
      <c r="AA20" s="1" t="s">
        <v>36</v>
      </c>
      <c r="AB20" s="1" t="s">
        <v>39</v>
      </c>
      <c r="AC20" s="1"/>
      <c r="AD20" s="1"/>
      <c r="AE20" s="1" t="s">
        <v>159</v>
      </c>
      <c r="AF20" s="1"/>
      <c r="AG20" s="1"/>
      <c r="AH20" s="1"/>
      <c r="AI20" s="1"/>
      <c r="AJ20" s="1"/>
      <c r="AN20" s="184"/>
    </row>
    <row r="22" spans="3:40" x14ac:dyDescent="0.2">
      <c r="C22" t="s">
        <v>89</v>
      </c>
      <c r="D22" t="s">
        <v>46</v>
      </c>
      <c r="E22">
        <v>100</v>
      </c>
      <c r="F22">
        <v>2</v>
      </c>
      <c r="G22">
        <v>6.7</v>
      </c>
      <c r="I22">
        <v>31</v>
      </c>
      <c r="J22">
        <f>+I22-G22</f>
        <v>24.3</v>
      </c>
      <c r="K22">
        <v>1.87</v>
      </c>
      <c r="L22">
        <v>166</v>
      </c>
      <c r="M22">
        <v>0.84</v>
      </c>
      <c r="N22">
        <v>6.25</v>
      </c>
      <c r="O22">
        <v>30.4</v>
      </c>
      <c r="P22" s="3">
        <f>+(K22*L22)/N22-O22</f>
        <v>19.267200000000003</v>
      </c>
      <c r="Q22">
        <f>+(F22*0.0033)/N22</f>
        <v>1.0560000000000001E-3</v>
      </c>
      <c r="R22" s="3">
        <f>+(J22*P22)/1000+Q22</f>
        <v>0.4692489600000001</v>
      </c>
      <c r="S22" s="3">
        <f>+R22-T22</f>
        <v>0.19416207360000015</v>
      </c>
      <c r="T22">
        <f>+((K22*L22*M22)/N22-O22)*J22/1000</f>
        <v>0.27508688639999995</v>
      </c>
      <c r="U22">
        <v>0.1</v>
      </c>
      <c r="W22" s="7">
        <f>+T22*U22</f>
        <v>2.7508688639999997E-2</v>
      </c>
      <c r="X22" s="7"/>
      <c r="Y22">
        <v>1</v>
      </c>
      <c r="Z22" s="7">
        <f>+W22*Y22</f>
        <v>2.7508688639999997E-2</v>
      </c>
      <c r="AA22" s="7">
        <f>+R22-Z22</f>
        <v>0.4417402713600001</v>
      </c>
      <c r="AB22" s="7">
        <f>+T22-Z22</f>
        <v>0.24757819775999995</v>
      </c>
      <c r="AC22" s="7"/>
      <c r="AD22" s="7"/>
    </row>
    <row r="26" spans="3:40" x14ac:dyDescent="0.2">
      <c r="G26" s="97" t="s">
        <v>205</v>
      </c>
    </row>
    <row r="27" spans="3:40" ht="14.25" x14ac:dyDescent="0.2">
      <c r="C27" s="75" t="s">
        <v>182</v>
      </c>
      <c r="D27" t="s">
        <v>46</v>
      </c>
      <c r="E27">
        <v>100</v>
      </c>
    </row>
    <row r="28" spans="3:40" ht="24" x14ac:dyDescent="0.2">
      <c r="C28" s="75" t="s">
        <v>153</v>
      </c>
      <c r="D28" s="1" t="s">
        <v>186</v>
      </c>
      <c r="E28">
        <v>76</v>
      </c>
    </row>
  </sheetData>
  <mergeCells count="2">
    <mergeCell ref="G5:AD5"/>
    <mergeCell ref="AE5:AH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D248E-7FFA-4144-B52B-C8F12166A8C7}">
  <dimension ref="B3:P51"/>
  <sheetViews>
    <sheetView workbookViewId="0">
      <selection activeCell="F53" sqref="F53"/>
    </sheetView>
  </sheetViews>
  <sheetFormatPr defaultRowHeight="12" x14ac:dyDescent="0.2"/>
  <sheetData>
    <row r="3" spans="2:10" x14ac:dyDescent="0.2">
      <c r="B3" t="s">
        <v>53</v>
      </c>
      <c r="D3">
        <v>2019</v>
      </c>
      <c r="F3" t="s">
        <v>52</v>
      </c>
      <c r="J3" t="s">
        <v>51</v>
      </c>
    </row>
    <row r="49" spans="2:16" x14ac:dyDescent="0.2">
      <c r="B49" s="226" t="s">
        <v>425</v>
      </c>
    </row>
    <row r="51" spans="2:16" x14ac:dyDescent="0.2">
      <c r="B51" s="444"/>
      <c r="C51" s="444"/>
      <c r="D51" s="444"/>
      <c r="E51" s="444"/>
      <c r="F51" s="444"/>
      <c r="G51" s="444"/>
      <c r="H51" s="444"/>
      <c r="I51" s="444"/>
      <c r="J51" s="444"/>
      <c r="K51" s="444"/>
      <c r="L51" s="444"/>
      <c r="M51" s="444"/>
      <c r="N51" s="444"/>
      <c r="O51" s="444"/>
      <c r="P51" s="444"/>
    </row>
  </sheetData>
  <mergeCells count="1">
    <mergeCell ref="B51:P51"/>
  </mergeCells>
  <hyperlinks>
    <hyperlink ref="B49" r:id="rId1" xr:uid="{FAF186AE-9C9A-4C54-A8DE-397BBF2F8082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6DBED-E81A-4BA4-8584-C435074AC850}">
  <dimension ref="A1"/>
  <sheetViews>
    <sheetView workbookViewId="0"/>
  </sheetViews>
  <sheetFormatPr defaultRowHeight="12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E9FE-3857-4507-B09B-E9B27554ACCD}">
  <dimension ref="A3:G29"/>
  <sheetViews>
    <sheetView topLeftCell="A11" workbookViewId="0">
      <selection activeCell="C36" sqref="C36"/>
    </sheetView>
  </sheetViews>
  <sheetFormatPr defaultRowHeight="12" x14ac:dyDescent="0.2"/>
  <cols>
    <col min="1" max="1" width="64.28515625" customWidth="1"/>
  </cols>
  <sheetData>
    <row r="3" spans="1:7" ht="18" x14ac:dyDescent="0.25">
      <c r="A3" s="405" t="s">
        <v>426</v>
      </c>
    </row>
    <row r="4" spans="1:7" ht="38.25" x14ac:dyDescent="0.2">
      <c r="A4" s="406" t="s">
        <v>427</v>
      </c>
      <c r="B4" s="407" t="s">
        <v>428</v>
      </c>
      <c r="C4" s="407" t="s">
        <v>429</v>
      </c>
      <c r="D4" s="407" t="s">
        <v>430</v>
      </c>
      <c r="E4" s="407" t="s">
        <v>431</v>
      </c>
      <c r="F4" s="407" t="s">
        <v>432</v>
      </c>
      <c r="G4" s="407" t="s">
        <v>258</v>
      </c>
    </row>
    <row r="5" spans="1:7" ht="12.75" x14ac:dyDescent="0.2">
      <c r="A5" s="408" t="s">
        <v>433</v>
      </c>
      <c r="B5" s="407"/>
      <c r="C5" s="407"/>
      <c r="D5" s="407"/>
      <c r="E5" s="407"/>
      <c r="F5" s="407"/>
      <c r="G5" s="407"/>
    </row>
    <row r="6" spans="1:7" ht="12.75" x14ac:dyDescent="0.2">
      <c r="A6" s="406" t="s">
        <v>434</v>
      </c>
      <c r="B6" s="406"/>
      <c r="C6" s="406"/>
      <c r="D6" s="406">
        <v>7500</v>
      </c>
      <c r="E6" s="406">
        <v>152</v>
      </c>
      <c r="F6" s="406">
        <v>560</v>
      </c>
      <c r="G6" s="406" t="s">
        <v>435</v>
      </c>
    </row>
    <row r="7" spans="1:7" ht="12.75" x14ac:dyDescent="0.2">
      <c r="A7" s="406" t="s">
        <v>436</v>
      </c>
      <c r="B7" s="406"/>
      <c r="C7" s="406"/>
      <c r="D7" s="406"/>
      <c r="E7" s="406">
        <v>10</v>
      </c>
      <c r="F7" s="406">
        <v>18</v>
      </c>
      <c r="G7" s="406" t="s">
        <v>437</v>
      </c>
    </row>
    <row r="8" spans="1:7" ht="12.75" x14ac:dyDescent="0.2">
      <c r="A8" s="406" t="s">
        <v>438</v>
      </c>
      <c r="B8" s="406"/>
      <c r="C8" s="406"/>
      <c r="D8" s="406"/>
      <c r="E8" s="406"/>
      <c r="F8" s="406">
        <v>95</v>
      </c>
      <c r="G8" s="406" t="s">
        <v>439</v>
      </c>
    </row>
    <row r="9" spans="1:7" ht="12.75" x14ac:dyDescent="0.2">
      <c r="A9" s="406" t="s">
        <v>440</v>
      </c>
      <c r="B9" s="406"/>
      <c r="C9" s="406"/>
      <c r="D9" s="406"/>
      <c r="E9" s="406"/>
      <c r="F9" s="406">
        <v>164</v>
      </c>
      <c r="G9" s="406" t="s">
        <v>441</v>
      </c>
    </row>
    <row r="10" spans="1:7" ht="12.75" x14ac:dyDescent="0.2">
      <c r="A10" s="408" t="s">
        <v>442</v>
      </c>
      <c r="B10" s="406"/>
      <c r="C10" s="406"/>
      <c r="D10" s="406"/>
      <c r="E10" s="406"/>
      <c r="F10" s="406"/>
      <c r="G10" s="406"/>
    </row>
    <row r="11" spans="1:7" ht="31.5" customHeight="1" x14ac:dyDescent="0.2">
      <c r="A11" s="407" t="s">
        <v>443</v>
      </c>
      <c r="D11">
        <v>169</v>
      </c>
      <c r="E11">
        <v>2.6</v>
      </c>
      <c r="F11">
        <v>7.7</v>
      </c>
      <c r="G11" t="s">
        <v>444</v>
      </c>
    </row>
    <row r="12" spans="1:7" ht="24" customHeight="1" x14ac:dyDescent="0.2">
      <c r="A12" s="407" t="s">
        <v>445</v>
      </c>
      <c r="D12">
        <v>90</v>
      </c>
      <c r="E12">
        <v>7.1</v>
      </c>
      <c r="F12">
        <v>1.7</v>
      </c>
      <c r="G12" t="s">
        <v>444</v>
      </c>
    </row>
    <row r="13" spans="1:7" ht="12.75" x14ac:dyDescent="0.2">
      <c r="A13" s="406" t="s">
        <v>446</v>
      </c>
      <c r="B13" s="409"/>
      <c r="C13" s="409"/>
      <c r="D13" s="409">
        <v>13</v>
      </c>
      <c r="E13" s="409">
        <v>0.6</v>
      </c>
      <c r="F13" s="409">
        <v>2</v>
      </c>
      <c r="G13" s="226" t="s">
        <v>447</v>
      </c>
    </row>
    <row r="14" spans="1:7" ht="12.75" x14ac:dyDescent="0.2">
      <c r="A14" s="406" t="s">
        <v>448</v>
      </c>
      <c r="B14" s="409"/>
      <c r="C14" s="409"/>
      <c r="D14" s="409"/>
      <c r="E14" s="409">
        <v>5</v>
      </c>
      <c r="F14" s="409">
        <v>18.2</v>
      </c>
      <c r="G14" s="406" t="s">
        <v>441</v>
      </c>
    </row>
    <row r="15" spans="1:7" ht="12.75" x14ac:dyDescent="0.2">
      <c r="A15" s="406" t="s">
        <v>449</v>
      </c>
      <c r="B15" s="409"/>
      <c r="C15" s="409"/>
      <c r="D15" s="409"/>
      <c r="E15" s="409">
        <v>2</v>
      </c>
      <c r="F15" s="409">
        <v>7.1</v>
      </c>
      <c r="G15" s="406" t="s">
        <v>450</v>
      </c>
    </row>
    <row r="16" spans="1:7" ht="12.75" x14ac:dyDescent="0.2">
      <c r="A16" s="406" t="s">
        <v>451</v>
      </c>
      <c r="B16" s="409"/>
      <c r="C16" s="409"/>
      <c r="D16" s="409"/>
      <c r="E16" s="409">
        <v>2.4</v>
      </c>
      <c r="F16" s="409">
        <v>8.4</v>
      </c>
      <c r="G16" s="406" t="s">
        <v>452</v>
      </c>
    </row>
    <row r="17" spans="1:7" ht="12.75" x14ac:dyDescent="0.2">
      <c r="A17" s="406" t="s">
        <v>453</v>
      </c>
      <c r="B17" s="409"/>
      <c r="C17" s="409"/>
      <c r="D17" s="409"/>
      <c r="E17" s="409"/>
      <c r="F17" s="409">
        <v>1.5</v>
      </c>
      <c r="G17" s="406" t="s">
        <v>454</v>
      </c>
    </row>
    <row r="18" spans="1:7" ht="12.75" x14ac:dyDescent="0.2">
      <c r="A18" s="406" t="s">
        <v>455</v>
      </c>
      <c r="B18" s="409"/>
      <c r="C18" s="409"/>
      <c r="D18" s="409"/>
      <c r="E18" s="409"/>
      <c r="F18" s="409">
        <v>1.5</v>
      </c>
      <c r="G18" s="406" t="s">
        <v>456</v>
      </c>
    </row>
    <row r="19" spans="1:7" ht="12.75" x14ac:dyDescent="0.2">
      <c r="A19" s="406" t="s">
        <v>457</v>
      </c>
      <c r="B19" s="409"/>
      <c r="C19" s="409"/>
      <c r="D19">
        <v>90</v>
      </c>
      <c r="E19" s="409">
        <v>3</v>
      </c>
      <c r="F19" s="409">
        <v>10</v>
      </c>
      <c r="G19" s="406" t="s">
        <v>458</v>
      </c>
    </row>
    <row r="20" spans="1:7" ht="12.75" x14ac:dyDescent="0.2">
      <c r="A20" s="406" t="s">
        <v>459</v>
      </c>
      <c r="B20" s="409"/>
      <c r="C20" s="409"/>
      <c r="D20" s="409">
        <v>7</v>
      </c>
      <c r="E20" s="409">
        <v>0.5</v>
      </c>
      <c r="F20" s="409">
        <v>1.5</v>
      </c>
      <c r="G20" s="406" t="s">
        <v>460</v>
      </c>
    </row>
    <row r="21" spans="1:7" ht="12.75" x14ac:dyDescent="0.2">
      <c r="A21" s="406" t="s">
        <v>461</v>
      </c>
      <c r="B21" s="409"/>
      <c r="C21" s="409"/>
      <c r="D21" s="409">
        <v>26</v>
      </c>
      <c r="E21" s="409">
        <v>-1</v>
      </c>
      <c r="F21" s="409">
        <v>-5</v>
      </c>
      <c r="G21" s="406" t="s">
        <v>462</v>
      </c>
    </row>
    <row r="22" spans="1:7" ht="12.75" x14ac:dyDescent="0.2">
      <c r="A22" s="406" t="s">
        <v>463</v>
      </c>
      <c r="B22" s="409"/>
      <c r="C22" s="409"/>
      <c r="D22" s="409"/>
      <c r="E22" s="409">
        <v>0.14000000000000001</v>
      </c>
      <c r="F22" s="409">
        <v>0.5</v>
      </c>
      <c r="G22" s="406" t="s">
        <v>464</v>
      </c>
    </row>
    <row r="23" spans="1:7" ht="12.75" x14ac:dyDescent="0.2">
      <c r="A23" s="406" t="s">
        <v>465</v>
      </c>
      <c r="B23" s="409"/>
      <c r="C23" s="409"/>
      <c r="D23" s="409"/>
      <c r="E23" s="409">
        <v>0.3</v>
      </c>
      <c r="F23" s="409">
        <v>1</v>
      </c>
      <c r="G23" s="406" t="s">
        <v>466</v>
      </c>
    </row>
    <row r="24" spans="1:7" ht="12.75" x14ac:dyDescent="0.2">
      <c r="A24" s="406" t="s">
        <v>467</v>
      </c>
      <c r="B24" s="409"/>
      <c r="C24" s="409"/>
      <c r="D24" s="409">
        <v>90</v>
      </c>
      <c r="E24" s="409">
        <v>3</v>
      </c>
      <c r="F24" s="409">
        <v>5</v>
      </c>
      <c r="G24" s="406" t="s">
        <v>468</v>
      </c>
    </row>
    <row r="25" spans="1:7" ht="12.75" x14ac:dyDescent="0.2">
      <c r="A25" s="406"/>
      <c r="B25" s="409"/>
      <c r="C25" s="409"/>
      <c r="D25" s="409"/>
      <c r="E25" s="409"/>
      <c r="F25" s="409"/>
      <c r="G25" s="406"/>
    </row>
    <row r="26" spans="1:7" ht="12.75" x14ac:dyDescent="0.2">
      <c r="A26" s="408" t="s">
        <v>469</v>
      </c>
      <c r="B26" s="336"/>
      <c r="C26" s="336"/>
      <c r="D26" s="336"/>
      <c r="E26" s="336"/>
      <c r="F26" s="336"/>
    </row>
    <row r="27" spans="1:7" ht="12.75" x14ac:dyDescent="0.2">
      <c r="A27" s="406" t="s">
        <v>470</v>
      </c>
      <c r="B27" s="336"/>
      <c r="C27" s="336"/>
      <c r="D27" s="336"/>
      <c r="E27" s="336"/>
      <c r="F27" s="336">
        <v>2.1</v>
      </c>
      <c r="G27" s="406" t="s">
        <v>441</v>
      </c>
    </row>
    <row r="28" spans="1:7" ht="12.75" x14ac:dyDescent="0.2">
      <c r="A28" s="406" t="s">
        <v>471</v>
      </c>
      <c r="B28" s="336"/>
      <c r="C28" s="336"/>
      <c r="D28" s="336"/>
      <c r="E28" s="336"/>
      <c r="F28" s="336">
        <v>6</v>
      </c>
      <c r="G28" t="s">
        <v>472</v>
      </c>
    </row>
    <row r="29" spans="1:7" x14ac:dyDescent="0.2">
      <c r="B29" s="336"/>
      <c r="C29" s="336"/>
      <c r="D29" s="336"/>
      <c r="E29" s="336"/>
      <c r="F29" s="336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9C7-AB43-4CE4-8040-8553861B45B5}">
  <dimension ref="A1:F27"/>
  <sheetViews>
    <sheetView workbookViewId="0">
      <selection activeCell="M37" sqref="M37"/>
    </sheetView>
  </sheetViews>
  <sheetFormatPr defaultRowHeight="12" x14ac:dyDescent="0.2"/>
  <cols>
    <col min="1" max="1" width="25.5703125" customWidth="1"/>
  </cols>
  <sheetData>
    <row r="1" spans="1:6" x14ac:dyDescent="0.2">
      <c r="B1" s="3"/>
      <c r="C1" s="3"/>
      <c r="F1" s="3"/>
    </row>
    <row r="2" spans="1:6" x14ac:dyDescent="0.2">
      <c r="A2" t="s">
        <v>473</v>
      </c>
      <c r="B2" s="5"/>
      <c r="C2" s="5"/>
      <c r="F2" s="5"/>
    </row>
    <row r="3" spans="1:6" x14ac:dyDescent="0.2">
      <c r="A3" t="s">
        <v>475</v>
      </c>
      <c r="B3" s="4" t="s">
        <v>51</v>
      </c>
      <c r="C3" s="4" t="s">
        <v>51</v>
      </c>
      <c r="D3" s="4" t="s">
        <v>53</v>
      </c>
      <c r="E3" s="4"/>
      <c r="F3" s="4" t="s">
        <v>52</v>
      </c>
    </row>
    <row r="4" spans="1:6" x14ac:dyDescent="0.2">
      <c r="A4" t="s">
        <v>474</v>
      </c>
      <c r="B4" t="s">
        <v>493</v>
      </c>
      <c r="C4" t="s">
        <v>494</v>
      </c>
    </row>
    <row r="6" spans="1:6" x14ac:dyDescent="0.2">
      <c r="A6" t="s">
        <v>476</v>
      </c>
      <c r="B6">
        <v>27</v>
      </c>
      <c r="C6">
        <v>27</v>
      </c>
      <c r="D6">
        <v>27</v>
      </c>
      <c r="F6">
        <v>23</v>
      </c>
    </row>
    <row r="7" spans="1:6" x14ac:dyDescent="0.2">
      <c r="A7" t="s">
        <v>477</v>
      </c>
      <c r="B7">
        <v>37.1</v>
      </c>
      <c r="C7">
        <v>39.450000000000003</v>
      </c>
      <c r="D7">
        <v>39.799999999999997</v>
      </c>
      <c r="F7">
        <v>46</v>
      </c>
    </row>
    <row r="8" spans="1:6" x14ac:dyDescent="0.2">
      <c r="A8" t="s">
        <v>478</v>
      </c>
      <c r="B8">
        <v>10</v>
      </c>
      <c r="C8">
        <v>10</v>
      </c>
      <c r="D8">
        <v>10</v>
      </c>
      <c r="F8">
        <v>1</v>
      </c>
    </row>
    <row r="9" spans="1:6" x14ac:dyDescent="0.2">
      <c r="A9" t="s">
        <v>479</v>
      </c>
      <c r="B9">
        <v>9.9499999999999993</v>
      </c>
      <c r="C9">
        <v>12.96</v>
      </c>
      <c r="D9">
        <v>12.85</v>
      </c>
      <c r="F9">
        <v>19.12</v>
      </c>
    </row>
    <row r="10" spans="1:6" x14ac:dyDescent="0.2">
      <c r="A10" t="s">
        <v>480</v>
      </c>
      <c r="B10">
        <v>7</v>
      </c>
      <c r="C10">
        <v>4.3499999999999996</v>
      </c>
      <c r="D10">
        <v>4</v>
      </c>
      <c r="F10">
        <v>0</v>
      </c>
    </row>
    <row r="11" spans="1:6" x14ac:dyDescent="0.2">
      <c r="A11" t="s">
        <v>481</v>
      </c>
      <c r="B11">
        <v>2</v>
      </c>
      <c r="C11">
        <v>0.94</v>
      </c>
      <c r="D11">
        <v>1</v>
      </c>
      <c r="F11">
        <v>1</v>
      </c>
    </row>
    <row r="12" spans="1:6" x14ac:dyDescent="0.2">
      <c r="A12" t="s">
        <v>482</v>
      </c>
      <c r="B12">
        <v>1</v>
      </c>
      <c r="C12">
        <v>0.94</v>
      </c>
      <c r="D12">
        <v>0.9</v>
      </c>
      <c r="F12">
        <v>2</v>
      </c>
    </row>
    <row r="13" spans="1:6" x14ac:dyDescent="0.2">
      <c r="A13" t="s">
        <v>483</v>
      </c>
      <c r="B13">
        <v>1</v>
      </c>
      <c r="C13">
        <v>0.47</v>
      </c>
      <c r="D13">
        <v>0.5</v>
      </c>
      <c r="F13">
        <v>0.5</v>
      </c>
    </row>
    <row r="14" spans="1:6" x14ac:dyDescent="0.2">
      <c r="A14" t="s">
        <v>490</v>
      </c>
      <c r="F14">
        <v>0.3</v>
      </c>
    </row>
    <row r="15" spans="1:6" x14ac:dyDescent="0.2">
      <c r="A15" t="s">
        <v>491</v>
      </c>
    </row>
    <row r="16" spans="1:6" x14ac:dyDescent="0.2">
      <c r="A16" t="s">
        <v>492</v>
      </c>
      <c r="B16">
        <v>2</v>
      </c>
      <c r="C16">
        <v>0.94</v>
      </c>
    </row>
    <row r="18" spans="1:6" x14ac:dyDescent="0.2">
      <c r="A18" t="s">
        <v>484</v>
      </c>
      <c r="B18">
        <v>2.95</v>
      </c>
      <c r="C18">
        <v>2.95</v>
      </c>
      <c r="D18">
        <v>3.95</v>
      </c>
      <c r="F18">
        <v>7.08</v>
      </c>
    </row>
    <row r="20" spans="1:6" x14ac:dyDescent="0.2">
      <c r="A20" t="s">
        <v>485</v>
      </c>
      <c r="B20">
        <f t="shared" ref="B20:C20" si="0">SUM(B6:B18)</f>
        <v>100</v>
      </c>
      <c r="C20">
        <f t="shared" si="0"/>
        <v>99.999999999999986</v>
      </c>
      <c r="D20">
        <f>SUM(D6:D18)</f>
        <v>100</v>
      </c>
      <c r="F20">
        <f t="shared" ref="F20" si="1">SUM(F6:F18)</f>
        <v>100</v>
      </c>
    </row>
    <row r="21" spans="1:6" x14ac:dyDescent="0.2">
      <c r="A21" t="s">
        <v>489</v>
      </c>
      <c r="B21">
        <v>1.04</v>
      </c>
      <c r="C21">
        <v>1.05</v>
      </c>
      <c r="D21">
        <v>1.04</v>
      </c>
      <c r="F21">
        <v>1.1000000000000001</v>
      </c>
    </row>
    <row r="22" spans="1:6" x14ac:dyDescent="0.2">
      <c r="A22" t="s">
        <v>486</v>
      </c>
      <c r="B22">
        <v>124</v>
      </c>
      <c r="C22">
        <v>124</v>
      </c>
      <c r="D22">
        <v>123</v>
      </c>
      <c r="F22">
        <v>141</v>
      </c>
    </row>
    <row r="23" spans="1:6" x14ac:dyDescent="0.2">
      <c r="A23" t="s">
        <v>487</v>
      </c>
      <c r="B23">
        <v>0.5</v>
      </c>
      <c r="C23">
        <v>0.48</v>
      </c>
      <c r="D23">
        <v>0.45</v>
      </c>
      <c r="F23">
        <v>0.56999999999999995</v>
      </c>
    </row>
    <row r="24" spans="1:6" x14ac:dyDescent="0.2">
      <c r="A24" t="s">
        <v>488</v>
      </c>
      <c r="B24">
        <v>0.95</v>
      </c>
      <c r="C24">
        <v>1.05</v>
      </c>
      <c r="D24">
        <v>0.81</v>
      </c>
      <c r="F24">
        <v>1.44</v>
      </c>
    </row>
    <row r="27" spans="1:6" x14ac:dyDescent="0.2">
      <c r="A27" t="s">
        <v>495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E53A6-8492-4031-99D3-6AB91DAC70DC}">
  <dimension ref="B101:E103"/>
  <sheetViews>
    <sheetView workbookViewId="0">
      <selection activeCell="L105" sqref="L105"/>
    </sheetView>
  </sheetViews>
  <sheetFormatPr defaultRowHeight="12" x14ac:dyDescent="0.2"/>
  <cols>
    <col min="2" max="2" width="31.42578125" customWidth="1"/>
  </cols>
  <sheetData>
    <row r="101" spans="2:5" ht="16.5" thickBot="1" x14ac:dyDescent="0.25">
      <c r="B101" s="112" t="s">
        <v>198</v>
      </c>
      <c r="C101" s="120"/>
      <c r="D101" s="18"/>
      <c r="E101" s="18"/>
    </row>
    <row r="102" spans="2:5" ht="13.5" thickBot="1" x14ac:dyDescent="0.25">
      <c r="B102" s="410" t="s">
        <v>206</v>
      </c>
      <c r="C102" s="116">
        <f t="shared" ref="C102:C103" si="0">+E102*D102/365</f>
        <v>122.73972602739725</v>
      </c>
      <c r="D102" s="37">
        <v>112</v>
      </c>
      <c r="E102" s="38">
        <v>400</v>
      </c>
    </row>
    <row r="103" spans="2:5" ht="12.75" thickBot="1" x14ac:dyDescent="0.25">
      <c r="B103" s="56" t="s">
        <v>207</v>
      </c>
      <c r="C103" s="117">
        <f t="shared" si="0"/>
        <v>100.82191780821918</v>
      </c>
      <c r="D103" s="118">
        <v>92</v>
      </c>
      <c r="E103" s="119">
        <v>400</v>
      </c>
    </row>
  </sheetData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C2907-ECFE-41CA-9E6A-51C61A95B9B8}">
  <dimension ref="A39:I48"/>
  <sheetViews>
    <sheetView workbookViewId="0">
      <selection activeCell="C48" sqref="C48"/>
    </sheetView>
  </sheetViews>
  <sheetFormatPr defaultRowHeight="12" x14ac:dyDescent="0.2"/>
  <sheetData>
    <row r="39" spans="1:9" ht="12.75" thickBot="1" x14ac:dyDescent="0.25"/>
    <row r="40" spans="1:9" ht="27.75" thickBot="1" x14ac:dyDescent="0.25">
      <c r="A40" s="467" t="s">
        <v>240</v>
      </c>
      <c r="B40" s="468"/>
      <c r="C40" s="229"/>
      <c r="D40" s="476"/>
      <c r="E40" s="468"/>
      <c r="F40" s="229"/>
      <c r="G40" s="476"/>
      <c r="H40" s="468"/>
      <c r="I40" s="232" t="s">
        <v>241</v>
      </c>
    </row>
    <row r="41" spans="1:9" ht="12.75" thickBot="1" x14ac:dyDescent="0.25">
      <c r="A41" s="473" t="s">
        <v>242</v>
      </c>
      <c r="B41" s="474"/>
      <c r="C41" s="230"/>
      <c r="D41" s="477"/>
      <c r="E41" s="474"/>
      <c r="F41" s="230"/>
      <c r="G41" s="477"/>
      <c r="H41" s="474"/>
      <c r="I41" s="132">
        <v>0.4</v>
      </c>
    </row>
    <row r="42" spans="1:9" ht="12.75" thickBot="1" x14ac:dyDescent="0.25">
      <c r="A42" s="475" t="s">
        <v>243</v>
      </c>
      <c r="B42" s="445"/>
      <c r="C42" s="231"/>
      <c r="D42" s="478"/>
      <c r="E42" s="445"/>
      <c r="F42" s="231"/>
      <c r="G42" s="478"/>
      <c r="H42" s="445"/>
      <c r="I42" s="133">
        <v>0.2</v>
      </c>
    </row>
    <row r="43" spans="1:9" ht="12.75" thickBot="1" x14ac:dyDescent="0.25">
      <c r="A43" s="469"/>
      <c r="B43" s="470"/>
      <c r="C43" s="228"/>
      <c r="D43" s="470"/>
      <c r="E43" s="470"/>
      <c r="F43" s="228"/>
      <c r="G43" s="470"/>
      <c r="H43" s="470"/>
      <c r="I43" s="134"/>
    </row>
    <row r="44" spans="1:9" ht="12.75" thickBot="1" x14ac:dyDescent="0.25">
      <c r="A44" s="473" t="s">
        <v>244</v>
      </c>
      <c r="B44" s="474"/>
      <c r="C44" s="230"/>
      <c r="D44" s="477"/>
      <c r="E44" s="474"/>
      <c r="F44" s="230"/>
      <c r="G44" s="477"/>
      <c r="H44" s="474"/>
      <c r="I44" s="132">
        <v>5</v>
      </c>
    </row>
    <row r="45" spans="1:9" ht="12.75" thickBot="1" x14ac:dyDescent="0.25">
      <c r="A45" s="475" t="s">
        <v>245</v>
      </c>
      <c r="B45" s="445"/>
      <c r="C45" s="231"/>
      <c r="D45" s="478"/>
      <c r="E45" s="445"/>
      <c r="F45" s="231"/>
      <c r="G45" s="478"/>
      <c r="H45" s="445"/>
      <c r="I45" s="133">
        <v>1.7</v>
      </c>
    </row>
    <row r="46" spans="1:9" ht="12.75" thickBot="1" x14ac:dyDescent="0.25">
      <c r="A46" s="471"/>
      <c r="B46" s="472"/>
    </row>
    <row r="48" spans="1:9" x14ac:dyDescent="0.2">
      <c r="A48" t="s">
        <v>282</v>
      </c>
      <c r="C48" s="226" t="s">
        <v>330</v>
      </c>
    </row>
  </sheetData>
  <mergeCells count="19">
    <mergeCell ref="D43:E43"/>
    <mergeCell ref="G43:H43"/>
    <mergeCell ref="D44:E44"/>
    <mergeCell ref="G44:H44"/>
    <mergeCell ref="D45:E45"/>
    <mergeCell ref="G45:H45"/>
    <mergeCell ref="D40:E40"/>
    <mergeCell ref="G40:H40"/>
    <mergeCell ref="D41:E41"/>
    <mergeCell ref="G41:H41"/>
    <mergeCell ref="D42:E42"/>
    <mergeCell ref="G42:H42"/>
    <mergeCell ref="A40:B40"/>
    <mergeCell ref="A43:B43"/>
    <mergeCell ref="A46:B46"/>
    <mergeCell ref="A41:B41"/>
    <mergeCell ref="A42:B42"/>
    <mergeCell ref="A44:B44"/>
    <mergeCell ref="A45:B45"/>
  </mergeCells>
  <hyperlinks>
    <hyperlink ref="C48" r:id="rId1" location="idd92e936d-53b8-471c-9fe1-213ddd85c84d" display="idd92e936d-53b8-471c-9fe1-213ddd85c84d" xr:uid="{80ABB2F0-28D8-4A33-B726-AEA92F40C009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5040D-E5C6-4378-89AD-38FB3583D179}">
  <dimension ref="A4:G35"/>
  <sheetViews>
    <sheetView workbookViewId="0">
      <selection activeCell="A31" sqref="A31"/>
    </sheetView>
  </sheetViews>
  <sheetFormatPr defaultRowHeight="12" x14ac:dyDescent="0.2"/>
  <cols>
    <col min="1" max="1" width="27.42578125" customWidth="1"/>
    <col min="2" max="2" width="16" customWidth="1"/>
    <col min="3" max="3" width="17.28515625" hidden="1" customWidth="1"/>
    <col min="4" max="4" width="14.28515625" customWidth="1"/>
    <col min="5" max="5" width="16.85546875" customWidth="1"/>
    <col min="6" max="6" width="15.28515625" hidden="1" customWidth="1"/>
    <col min="7" max="7" width="16.5703125" customWidth="1"/>
    <col min="8" max="8" width="20.42578125" customWidth="1"/>
  </cols>
  <sheetData>
    <row r="4" spans="1:7" x14ac:dyDescent="0.2">
      <c r="B4" s="18">
        <v>1</v>
      </c>
      <c r="C4" s="18">
        <v>2</v>
      </c>
      <c r="D4" s="18">
        <v>3</v>
      </c>
      <c r="E4" s="18">
        <v>4</v>
      </c>
      <c r="F4" s="18">
        <v>5</v>
      </c>
      <c r="G4" s="18">
        <v>5</v>
      </c>
    </row>
    <row r="5" spans="1:7" ht="36" x14ac:dyDescent="0.2">
      <c r="A5" t="s">
        <v>270</v>
      </c>
      <c r="B5" s="18" t="s">
        <v>271</v>
      </c>
      <c r="C5" s="18"/>
      <c r="D5" s="18" t="s">
        <v>272</v>
      </c>
      <c r="E5" s="18"/>
      <c r="F5" s="18" t="s">
        <v>272</v>
      </c>
      <c r="G5" s="202" t="s">
        <v>324</v>
      </c>
    </row>
    <row r="6" spans="1:7" ht="15.75" x14ac:dyDescent="0.25">
      <c r="A6" s="2" t="s">
        <v>249</v>
      </c>
      <c r="B6" t="s">
        <v>126</v>
      </c>
      <c r="C6" t="s">
        <v>247</v>
      </c>
      <c r="D6" t="s">
        <v>127</v>
      </c>
      <c r="E6" t="s">
        <v>128</v>
      </c>
      <c r="F6" t="s">
        <v>129</v>
      </c>
    </row>
    <row r="7" spans="1:7" x14ac:dyDescent="0.2">
      <c r="B7" t="s">
        <v>132</v>
      </c>
      <c r="C7" t="s">
        <v>246</v>
      </c>
      <c r="D7" t="s">
        <v>246</v>
      </c>
      <c r="E7" t="s">
        <v>133</v>
      </c>
      <c r="F7" t="s">
        <v>134</v>
      </c>
    </row>
    <row r="8" spans="1:7" ht="33" customHeight="1" thickBot="1" x14ac:dyDescent="0.3">
      <c r="A8" s="2" t="s">
        <v>248</v>
      </c>
    </row>
    <row r="9" spans="1:7" ht="14.25" x14ac:dyDescent="0.2">
      <c r="A9" s="150" t="s">
        <v>251</v>
      </c>
      <c r="B9" s="151">
        <v>0</v>
      </c>
      <c r="C9" s="151">
        <v>9</v>
      </c>
      <c r="D9" s="151">
        <v>11.4</v>
      </c>
      <c r="E9" s="151">
        <v>0.5</v>
      </c>
      <c r="F9" s="152">
        <v>1.5</v>
      </c>
    </row>
    <row r="10" spans="1:7" ht="15" x14ac:dyDescent="0.25">
      <c r="A10" s="153" t="s">
        <v>250</v>
      </c>
      <c r="B10" s="154">
        <v>0.5</v>
      </c>
      <c r="C10" s="154">
        <v>2</v>
      </c>
      <c r="D10" s="154">
        <v>2.5</v>
      </c>
      <c r="E10" s="154">
        <v>0.5</v>
      </c>
      <c r="F10" s="155">
        <v>1.5</v>
      </c>
      <c r="G10" s="180">
        <v>0.4</v>
      </c>
    </row>
    <row r="11" spans="1:7" ht="15" thickBot="1" x14ac:dyDescent="0.25">
      <c r="A11" s="156" t="s">
        <v>252</v>
      </c>
      <c r="B11" s="157">
        <v>0.5</v>
      </c>
      <c r="C11" s="157">
        <v>1</v>
      </c>
      <c r="D11" s="157">
        <v>1.3</v>
      </c>
      <c r="E11" s="157">
        <v>0.5</v>
      </c>
      <c r="F11" s="158">
        <v>1.5</v>
      </c>
      <c r="G11" s="181">
        <v>0.2</v>
      </c>
    </row>
    <row r="12" spans="1:7" ht="15.75" thickBot="1" x14ac:dyDescent="0.3">
      <c r="A12" s="146" t="s">
        <v>253</v>
      </c>
      <c r="B12" s="159"/>
      <c r="C12" s="159"/>
      <c r="D12" s="159"/>
      <c r="E12" s="159"/>
      <c r="F12" s="159"/>
    </row>
    <row r="13" spans="1:7" ht="14.25" x14ac:dyDescent="0.2">
      <c r="A13" s="150" t="s">
        <v>251</v>
      </c>
      <c r="B13" s="151">
        <v>0</v>
      </c>
      <c r="C13" s="151">
        <v>21</v>
      </c>
      <c r="D13" s="151">
        <v>27.3</v>
      </c>
      <c r="E13" s="151">
        <v>0.5</v>
      </c>
      <c r="F13" s="152">
        <v>1.5</v>
      </c>
    </row>
    <row r="14" spans="1:7" ht="15" x14ac:dyDescent="0.25">
      <c r="A14" s="153" t="s">
        <v>250</v>
      </c>
      <c r="B14" s="154">
        <v>0.25</v>
      </c>
      <c r="C14" s="154">
        <v>4</v>
      </c>
      <c r="D14" s="154">
        <v>5.2</v>
      </c>
      <c r="E14" s="154">
        <v>0.5</v>
      </c>
      <c r="F14" s="155">
        <v>1.5</v>
      </c>
    </row>
    <row r="15" spans="1:7" ht="15" thickBot="1" x14ac:dyDescent="0.25">
      <c r="A15" s="156" t="s">
        <v>252</v>
      </c>
      <c r="B15" s="157">
        <v>0.25</v>
      </c>
      <c r="C15" s="157">
        <v>2</v>
      </c>
      <c r="D15" s="157">
        <v>2.6</v>
      </c>
      <c r="E15" s="157">
        <v>0.5</v>
      </c>
      <c r="F15" s="158">
        <v>1.5</v>
      </c>
    </row>
    <row r="16" spans="1:7" ht="15.75" thickBot="1" x14ac:dyDescent="0.3">
      <c r="A16" s="146" t="s">
        <v>254</v>
      </c>
      <c r="B16" s="159"/>
      <c r="C16" s="159"/>
      <c r="D16" s="159"/>
      <c r="E16" s="159"/>
      <c r="F16" s="159"/>
    </row>
    <row r="17" spans="1:7" ht="14.25" x14ac:dyDescent="0.2">
      <c r="A17" s="150" t="s">
        <v>251</v>
      </c>
      <c r="B17" s="151">
        <v>0</v>
      </c>
      <c r="C17" s="151">
        <v>4.59</v>
      </c>
      <c r="D17" s="151">
        <v>5.8101265822784809</v>
      </c>
      <c r="E17" s="151">
        <v>0.5</v>
      </c>
      <c r="F17" s="152">
        <v>1.5</v>
      </c>
    </row>
    <row r="18" spans="1:7" ht="14.25" x14ac:dyDescent="0.2">
      <c r="A18" s="144" t="s">
        <v>250</v>
      </c>
      <c r="B18" s="160">
        <v>0.5</v>
      </c>
      <c r="C18" s="160">
        <v>1.02</v>
      </c>
      <c r="D18" s="160">
        <v>1.2911392405063291</v>
      </c>
      <c r="E18" s="160">
        <v>0.5</v>
      </c>
      <c r="F18" s="161">
        <v>1.5</v>
      </c>
    </row>
    <row r="19" spans="1:7" ht="15" thickBot="1" x14ac:dyDescent="0.25">
      <c r="A19" s="156" t="s">
        <v>252</v>
      </c>
      <c r="B19" s="157">
        <v>0.5</v>
      </c>
      <c r="C19" s="157">
        <v>0.51</v>
      </c>
      <c r="D19" s="157">
        <v>0.64556962025316456</v>
      </c>
      <c r="E19" s="157">
        <v>0.5</v>
      </c>
      <c r="F19" s="158">
        <v>1.5</v>
      </c>
    </row>
    <row r="20" spans="1:7" ht="15.75" thickBot="1" x14ac:dyDescent="0.3">
      <c r="A20" s="146" t="s">
        <v>47</v>
      </c>
      <c r="B20" s="159"/>
      <c r="C20" s="159"/>
      <c r="D20" s="159"/>
      <c r="E20" s="159"/>
      <c r="F20" s="159"/>
    </row>
    <row r="21" spans="1:7" ht="14.25" x14ac:dyDescent="0.2">
      <c r="A21" s="150" t="s">
        <v>256</v>
      </c>
      <c r="B21" s="151">
        <v>15</v>
      </c>
      <c r="C21" s="151">
        <v>25</v>
      </c>
      <c r="D21" s="151">
        <v>31.645569620253163</v>
      </c>
      <c r="E21" s="151">
        <v>0.5</v>
      </c>
      <c r="F21" s="152">
        <v>1.5</v>
      </c>
    </row>
    <row r="22" spans="1:7" ht="15" thickBot="1" x14ac:dyDescent="0.25">
      <c r="A22" s="156" t="s">
        <v>257</v>
      </c>
      <c r="B22" s="157">
        <v>15</v>
      </c>
      <c r="C22" s="157">
        <v>13</v>
      </c>
      <c r="D22" s="157">
        <v>16.455696202531644</v>
      </c>
      <c r="E22" s="157">
        <v>0.5</v>
      </c>
      <c r="F22" s="158">
        <v>1.5</v>
      </c>
      <c r="G22" s="181">
        <v>1.7</v>
      </c>
    </row>
    <row r="23" spans="1:7" ht="15.75" thickBot="1" x14ac:dyDescent="0.3">
      <c r="A23" s="146" t="s">
        <v>255</v>
      </c>
      <c r="B23" s="159"/>
      <c r="C23" s="159"/>
      <c r="D23" s="159"/>
      <c r="E23" s="159"/>
      <c r="F23" s="159"/>
    </row>
    <row r="24" spans="1:7" ht="14.25" x14ac:dyDescent="0.2">
      <c r="A24" s="150" t="s">
        <v>323</v>
      </c>
      <c r="B24" s="151">
        <v>15</v>
      </c>
      <c r="C24" s="151">
        <v>25</v>
      </c>
      <c r="D24" s="151">
        <v>31.645569620253163</v>
      </c>
      <c r="E24" s="151">
        <v>0.5</v>
      </c>
      <c r="F24" s="152">
        <v>1.5</v>
      </c>
    </row>
    <row r="25" spans="1:7" ht="15" thickBot="1" x14ac:dyDescent="0.25">
      <c r="A25" s="156" t="s">
        <v>252</v>
      </c>
      <c r="B25" s="157">
        <v>15</v>
      </c>
      <c r="C25" s="157">
        <v>13</v>
      </c>
      <c r="D25" s="157">
        <v>16.455696202531644</v>
      </c>
      <c r="E25" s="157">
        <v>0.5</v>
      </c>
      <c r="F25" s="158">
        <v>1.5</v>
      </c>
      <c r="G25" s="181">
        <v>5</v>
      </c>
    </row>
    <row r="26" spans="1:7" ht="14.25" x14ac:dyDescent="0.2">
      <c r="A26" s="182" t="s">
        <v>282</v>
      </c>
    </row>
    <row r="27" spans="1:7" ht="14.25" x14ac:dyDescent="0.2">
      <c r="A27" s="182" t="s">
        <v>281</v>
      </c>
    </row>
    <row r="28" spans="1:7" ht="14.25" x14ac:dyDescent="0.2">
      <c r="A28" s="182" t="s">
        <v>322</v>
      </c>
    </row>
    <row r="29" spans="1:7" ht="14.25" x14ac:dyDescent="0.2">
      <c r="A29" s="182" t="s">
        <v>325</v>
      </c>
    </row>
    <row r="30" spans="1:7" ht="14.25" x14ac:dyDescent="0.2">
      <c r="A30" s="182"/>
    </row>
    <row r="33" spans="1:4" x14ac:dyDescent="0.2">
      <c r="B33" s="479"/>
    </row>
    <row r="34" spans="1:4" x14ac:dyDescent="0.2">
      <c r="B34" s="479"/>
    </row>
    <row r="35" spans="1:4" ht="15" x14ac:dyDescent="0.25">
      <c r="A35" s="203"/>
      <c r="B35" s="180"/>
      <c r="D35" s="204"/>
    </row>
  </sheetData>
  <mergeCells count="1">
    <mergeCell ref="B33:B3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B99B-949A-4BDF-A726-71023AA965CD}">
  <dimension ref="A1:E32"/>
  <sheetViews>
    <sheetView workbookViewId="0">
      <selection activeCell="G21" sqref="G21"/>
    </sheetView>
  </sheetViews>
  <sheetFormatPr defaultRowHeight="12" x14ac:dyDescent="0.2"/>
  <cols>
    <col min="1" max="1" width="28.42578125" customWidth="1"/>
    <col min="2" max="2" width="22.28515625" customWidth="1"/>
    <col min="3" max="3" width="22" customWidth="1"/>
  </cols>
  <sheetData>
    <row r="1" spans="1:5" x14ac:dyDescent="0.2">
      <c r="A1" t="s">
        <v>238</v>
      </c>
    </row>
    <row r="2" spans="1:5" x14ac:dyDescent="0.2">
      <c r="A2" s="121" t="s">
        <v>208</v>
      </c>
      <c r="B2" s="122"/>
      <c r="C2" s="123"/>
      <c r="D2" s="122"/>
      <c r="E2" s="123" t="s">
        <v>239</v>
      </c>
    </row>
    <row r="3" spans="1:5" x14ac:dyDescent="0.2">
      <c r="A3" s="122" t="s">
        <v>209</v>
      </c>
      <c r="B3" s="122" t="s">
        <v>210</v>
      </c>
      <c r="C3" s="123">
        <v>3</v>
      </c>
      <c r="D3" s="122" t="s">
        <v>211</v>
      </c>
      <c r="E3" s="124">
        <v>13.42</v>
      </c>
    </row>
    <row r="4" spans="1:5" x14ac:dyDescent="0.2">
      <c r="A4" s="122"/>
      <c r="B4" s="122" t="s">
        <v>212</v>
      </c>
      <c r="C4" s="123" t="s">
        <v>213</v>
      </c>
      <c r="D4" s="122" t="s">
        <v>17</v>
      </c>
      <c r="E4" s="124">
        <v>14.67</v>
      </c>
    </row>
    <row r="5" spans="1:5" x14ac:dyDescent="0.2">
      <c r="A5" s="122" t="s">
        <v>214</v>
      </c>
      <c r="B5" s="122" t="s">
        <v>210</v>
      </c>
      <c r="C5" s="123">
        <v>3</v>
      </c>
      <c r="D5" s="122" t="s">
        <v>211</v>
      </c>
      <c r="E5" s="124">
        <v>13.42</v>
      </c>
    </row>
    <row r="6" spans="1:5" x14ac:dyDescent="0.2">
      <c r="A6" s="122"/>
      <c r="B6" s="122" t="s">
        <v>212</v>
      </c>
      <c r="C6" s="123" t="s">
        <v>213</v>
      </c>
      <c r="D6" s="122" t="s">
        <v>17</v>
      </c>
      <c r="E6" s="124">
        <v>14.67</v>
      </c>
    </row>
    <row r="7" spans="1:5" x14ac:dyDescent="0.2">
      <c r="A7" s="122" t="s">
        <v>215</v>
      </c>
      <c r="B7" s="122" t="s">
        <v>212</v>
      </c>
      <c r="C7" s="123" t="s">
        <v>213</v>
      </c>
      <c r="D7" s="122" t="s">
        <v>17</v>
      </c>
      <c r="E7" s="124">
        <v>14.67</v>
      </c>
    </row>
    <row r="8" spans="1:5" x14ac:dyDescent="0.2">
      <c r="A8" s="122" t="s">
        <v>216</v>
      </c>
      <c r="B8" s="122" t="s">
        <v>217</v>
      </c>
      <c r="C8" s="123" t="s">
        <v>213</v>
      </c>
      <c r="D8" s="122" t="s">
        <v>17</v>
      </c>
      <c r="E8" s="124">
        <v>7.1999999999999993</v>
      </c>
    </row>
    <row r="9" spans="1:5" x14ac:dyDescent="0.2">
      <c r="A9" s="122" t="s">
        <v>218</v>
      </c>
      <c r="B9" s="122" t="s">
        <v>219</v>
      </c>
      <c r="C9" s="123" t="s">
        <v>213</v>
      </c>
      <c r="D9" s="122" t="s">
        <v>17</v>
      </c>
      <c r="E9" s="124">
        <v>11.399999999999999</v>
      </c>
    </row>
    <row r="10" spans="1:5" x14ac:dyDescent="0.2">
      <c r="A10" s="122" t="s">
        <v>220</v>
      </c>
      <c r="B10" s="122" t="s">
        <v>210</v>
      </c>
      <c r="C10" s="123">
        <v>3</v>
      </c>
      <c r="D10" s="122" t="s">
        <v>211</v>
      </c>
      <c r="E10" s="124">
        <v>13.42</v>
      </c>
    </row>
    <row r="11" spans="1:5" x14ac:dyDescent="0.2">
      <c r="A11" s="122" t="s">
        <v>221</v>
      </c>
      <c r="B11" s="122" t="s">
        <v>210</v>
      </c>
      <c r="C11" s="123">
        <v>3</v>
      </c>
      <c r="D11" s="122" t="s">
        <v>211</v>
      </c>
      <c r="E11" s="124">
        <v>13.42</v>
      </c>
    </row>
    <row r="12" spans="1:5" x14ac:dyDescent="0.2">
      <c r="A12" s="122" t="s">
        <v>222</v>
      </c>
      <c r="B12" s="122" t="s">
        <v>223</v>
      </c>
      <c r="C12" s="123">
        <v>4</v>
      </c>
      <c r="D12" s="122" t="s">
        <v>211</v>
      </c>
      <c r="E12" s="124">
        <v>13.42</v>
      </c>
    </row>
    <row r="13" spans="1:5" x14ac:dyDescent="0.2">
      <c r="A13" s="122"/>
      <c r="B13" s="122" t="s">
        <v>224</v>
      </c>
      <c r="C13" s="123">
        <v>2</v>
      </c>
      <c r="D13" s="122" t="s">
        <v>17</v>
      </c>
      <c r="E13" s="123">
        <v>2</v>
      </c>
    </row>
    <row r="14" spans="1:5" x14ac:dyDescent="0.2">
      <c r="A14" s="122" t="s">
        <v>225</v>
      </c>
      <c r="B14" s="122" t="s">
        <v>210</v>
      </c>
      <c r="C14" s="123">
        <v>3</v>
      </c>
      <c r="D14" s="122" t="s">
        <v>211</v>
      </c>
      <c r="E14" s="124">
        <v>13.42</v>
      </c>
    </row>
    <row r="15" spans="1:5" x14ac:dyDescent="0.2">
      <c r="A15" s="122"/>
      <c r="B15" s="122" t="s">
        <v>224</v>
      </c>
      <c r="C15" s="123">
        <v>2</v>
      </c>
      <c r="D15" s="122" t="s">
        <v>17</v>
      </c>
      <c r="E15" s="123">
        <v>2</v>
      </c>
    </row>
    <row r="16" spans="1:5" x14ac:dyDescent="0.2">
      <c r="A16" s="122" t="s">
        <v>226</v>
      </c>
      <c r="B16" s="122" t="s">
        <v>223</v>
      </c>
      <c r="C16" s="123">
        <v>4</v>
      </c>
      <c r="D16" s="122" t="s">
        <v>211</v>
      </c>
      <c r="E16" s="124">
        <v>13.42</v>
      </c>
    </row>
    <row r="17" spans="1:5" x14ac:dyDescent="0.2">
      <c r="A17" s="122"/>
      <c r="B17" s="122" t="s">
        <v>224</v>
      </c>
      <c r="C17" s="123">
        <v>2</v>
      </c>
      <c r="D17" s="122" t="s">
        <v>17</v>
      </c>
      <c r="E17" s="123">
        <v>2</v>
      </c>
    </row>
    <row r="18" spans="1:5" x14ac:dyDescent="0.2">
      <c r="A18" s="122" t="s">
        <v>227</v>
      </c>
      <c r="B18" s="122" t="s">
        <v>228</v>
      </c>
      <c r="C18" s="123">
        <v>1</v>
      </c>
      <c r="D18" s="122" t="s">
        <v>17</v>
      </c>
      <c r="E18" s="123">
        <v>1</v>
      </c>
    </row>
    <row r="19" spans="1:5" x14ac:dyDescent="0.2">
      <c r="A19" s="122" t="s">
        <v>135</v>
      </c>
      <c r="B19" s="122" t="s">
        <v>210</v>
      </c>
      <c r="C19" s="123">
        <v>3</v>
      </c>
      <c r="D19" s="122" t="s">
        <v>211</v>
      </c>
      <c r="E19" s="124">
        <v>13.42</v>
      </c>
    </row>
    <row r="20" spans="1:5" x14ac:dyDescent="0.2">
      <c r="A20" s="122" t="s">
        <v>229</v>
      </c>
      <c r="B20" s="122" t="s">
        <v>210</v>
      </c>
      <c r="C20" s="123">
        <v>3</v>
      </c>
      <c r="D20" s="122" t="s">
        <v>211</v>
      </c>
      <c r="E20" s="124">
        <v>13.42</v>
      </c>
    </row>
    <row r="21" spans="1:5" x14ac:dyDescent="0.2">
      <c r="A21" s="122" t="s">
        <v>230</v>
      </c>
      <c r="B21" s="122" t="s">
        <v>223</v>
      </c>
      <c r="C21" s="123">
        <v>4</v>
      </c>
      <c r="D21" s="122" t="s">
        <v>211</v>
      </c>
      <c r="E21" s="124">
        <v>13.42</v>
      </c>
    </row>
    <row r="22" spans="1:5" x14ac:dyDescent="0.2">
      <c r="A22" s="122"/>
      <c r="B22" s="122" t="s">
        <v>224</v>
      </c>
      <c r="C22" s="123">
        <v>2</v>
      </c>
      <c r="D22" s="122" t="s">
        <v>17</v>
      </c>
      <c r="E22" s="123">
        <v>2</v>
      </c>
    </row>
    <row r="23" spans="1:5" x14ac:dyDescent="0.2">
      <c r="A23" s="122" t="s">
        <v>231</v>
      </c>
      <c r="B23" s="122" t="s">
        <v>210</v>
      </c>
      <c r="C23" s="123">
        <v>3</v>
      </c>
      <c r="D23" s="122" t="s">
        <v>211</v>
      </c>
      <c r="E23" s="124">
        <v>13.42</v>
      </c>
    </row>
    <row r="24" spans="1:5" x14ac:dyDescent="0.2">
      <c r="A24" s="122"/>
      <c r="B24" s="122" t="s">
        <v>217</v>
      </c>
      <c r="C24" s="123" t="s">
        <v>213</v>
      </c>
      <c r="D24" s="122" t="s">
        <v>17</v>
      </c>
      <c r="E24" s="123">
        <v>7.1999999999999993</v>
      </c>
    </row>
    <row r="25" spans="1:5" x14ac:dyDescent="0.2">
      <c r="A25" s="122"/>
      <c r="B25" s="122" t="s">
        <v>219</v>
      </c>
      <c r="C25" s="123" t="s">
        <v>213</v>
      </c>
      <c r="D25" s="122" t="s">
        <v>17</v>
      </c>
      <c r="E25" s="123">
        <v>11.399999999999999</v>
      </c>
    </row>
    <row r="26" spans="1:5" x14ac:dyDescent="0.2">
      <c r="A26" s="122" t="s">
        <v>232</v>
      </c>
      <c r="B26" s="122" t="s">
        <v>210</v>
      </c>
      <c r="C26" s="123">
        <v>3</v>
      </c>
      <c r="D26" s="122" t="s">
        <v>211</v>
      </c>
      <c r="E26" s="124">
        <v>13.42</v>
      </c>
    </row>
    <row r="27" spans="1:5" x14ac:dyDescent="0.2">
      <c r="A27" s="125" t="s">
        <v>233</v>
      </c>
      <c r="B27" s="125" t="s">
        <v>210</v>
      </c>
      <c r="C27" s="126">
        <v>5</v>
      </c>
      <c r="D27" s="125" t="s">
        <v>234</v>
      </c>
      <c r="E27" s="127">
        <v>10.34</v>
      </c>
    </row>
    <row r="29" spans="1:5" x14ac:dyDescent="0.2">
      <c r="E29" t="s">
        <v>239</v>
      </c>
    </row>
    <row r="30" spans="1:5" ht="12.75" thickBot="1" x14ac:dyDescent="0.25">
      <c r="A30" t="s">
        <v>235</v>
      </c>
    </row>
    <row r="31" spans="1:5" x14ac:dyDescent="0.2">
      <c r="A31" s="128" t="s">
        <v>236</v>
      </c>
      <c r="B31" s="114"/>
      <c r="C31" s="114"/>
      <c r="D31" s="114"/>
      <c r="E31" s="129">
        <v>13.37</v>
      </c>
    </row>
    <row r="32" spans="1:5" ht="12.75" thickBot="1" x14ac:dyDescent="0.25">
      <c r="A32" s="130" t="s">
        <v>237</v>
      </c>
      <c r="B32" s="115"/>
      <c r="C32" s="115"/>
      <c r="D32" s="115"/>
      <c r="E32" s="131">
        <v>10.38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A8B4D-4793-4423-99D8-2B9D74A598A6}">
  <dimension ref="A7:S29"/>
  <sheetViews>
    <sheetView workbookViewId="0">
      <selection activeCell="A12" sqref="A12"/>
    </sheetView>
  </sheetViews>
  <sheetFormatPr defaultRowHeight="12" x14ac:dyDescent="0.2"/>
  <cols>
    <col min="2" max="2" width="35" customWidth="1"/>
    <col min="19" max="19" width="9.42578125" bestFit="1" customWidth="1"/>
  </cols>
  <sheetData>
    <row r="7" spans="1:19" ht="12.75" thickBot="1" x14ac:dyDescent="0.25">
      <c r="H7" s="444"/>
      <c r="I7" s="444"/>
      <c r="J7" s="444"/>
      <c r="K7" s="444"/>
      <c r="L7" s="444"/>
      <c r="M7" s="444"/>
      <c r="N7" s="444"/>
      <c r="O7" s="445"/>
      <c r="P7" s="445"/>
    </row>
    <row r="8" spans="1:19" ht="72.75" thickBot="1" x14ac:dyDescent="0.25">
      <c r="A8" t="s">
        <v>289</v>
      </c>
      <c r="B8" s="56" t="s">
        <v>37</v>
      </c>
      <c r="C8" s="30" t="s">
        <v>45</v>
      </c>
      <c r="D8" s="31" t="s">
        <v>187</v>
      </c>
      <c r="E8" s="31" t="s">
        <v>295</v>
      </c>
      <c r="F8" s="31" t="s">
        <v>275</v>
      </c>
      <c r="G8" s="31" t="s">
        <v>276</v>
      </c>
      <c r="H8" s="31" t="s">
        <v>36</v>
      </c>
      <c r="I8" s="31" t="s">
        <v>39</v>
      </c>
      <c r="J8" s="31" t="s">
        <v>316</v>
      </c>
      <c r="K8" s="31" t="s">
        <v>317</v>
      </c>
      <c r="L8" s="31" t="s">
        <v>296</v>
      </c>
      <c r="M8" s="31" t="s">
        <v>297</v>
      </c>
      <c r="N8" s="31" t="s">
        <v>298</v>
      </c>
      <c r="O8" s="31" t="s">
        <v>302</v>
      </c>
      <c r="P8" s="31" t="s">
        <v>303</v>
      </c>
      <c r="Q8" s="183" t="s">
        <v>288</v>
      </c>
      <c r="R8" s="31" t="s">
        <v>302</v>
      </c>
      <c r="S8" s="31" t="s">
        <v>303</v>
      </c>
    </row>
    <row r="9" spans="1:19" ht="48.75" thickBot="1" x14ac:dyDescent="0.25">
      <c r="B9" s="56" t="s">
        <v>258</v>
      </c>
      <c r="C9" s="30" t="s">
        <v>259</v>
      </c>
      <c r="D9" s="31" t="s">
        <v>259</v>
      </c>
      <c r="E9" s="31"/>
      <c r="F9" s="31"/>
      <c r="G9" s="31" t="s">
        <v>273</v>
      </c>
      <c r="H9" s="31" t="s">
        <v>266</v>
      </c>
      <c r="I9" s="31" t="s">
        <v>266</v>
      </c>
      <c r="J9" s="31"/>
      <c r="K9" s="31"/>
      <c r="L9" s="31"/>
      <c r="M9" s="31" t="s">
        <v>266</v>
      </c>
      <c r="N9" s="31" t="s">
        <v>266</v>
      </c>
      <c r="O9" s="31" t="s">
        <v>279</v>
      </c>
      <c r="P9" s="31" t="s">
        <v>279</v>
      </c>
      <c r="R9" s="31" t="s">
        <v>279</v>
      </c>
      <c r="S9" s="31" t="s">
        <v>279</v>
      </c>
    </row>
    <row r="10" spans="1:19" ht="12.75" x14ac:dyDescent="0.2">
      <c r="B10" s="8" t="s">
        <v>44</v>
      </c>
      <c r="C10" s="8" t="s">
        <v>46</v>
      </c>
      <c r="D10" s="8">
        <v>100</v>
      </c>
      <c r="E10" s="8" t="s">
        <v>250</v>
      </c>
      <c r="F10" s="7" t="s">
        <v>299</v>
      </c>
      <c r="G10">
        <v>1</v>
      </c>
      <c r="H10" s="7">
        <f>+'N2O emissioner fra stald'!AA8</f>
        <v>2.5394796088377998</v>
      </c>
      <c r="I10" s="7">
        <f>+'N2O emissioner fra stald'!AB8</f>
        <v>1.5171183066578002</v>
      </c>
      <c r="J10" s="7">
        <v>0.5</v>
      </c>
      <c r="K10" s="179">
        <f>+H10*J10/100</f>
        <v>1.2697398044188998E-2</v>
      </c>
      <c r="L10" s="179">
        <v>2.5</v>
      </c>
      <c r="M10">
        <f>+H10*K10/100/28*44*G10</f>
        <v>5.0670373943380602E-4</v>
      </c>
      <c r="N10" s="187">
        <f>+I10*L10/100*0.01*1.57142857142857*G10</f>
        <v>5.9601076332984964E-4</v>
      </c>
      <c r="O10" s="97">
        <f>+M10*298</f>
        <v>0.15099771435127418</v>
      </c>
      <c r="P10" s="97">
        <f>+N10*298</f>
        <v>0.1776112074722952</v>
      </c>
      <c r="Q10">
        <f>+'N2O emissioner fra stald'!AK8</f>
        <v>31000</v>
      </c>
      <c r="R10" s="178">
        <f>+O10*Q10/1000</f>
        <v>4.6809291448894994</v>
      </c>
      <c r="S10" s="178">
        <f>+P10*Q10/1000</f>
        <v>5.5059474316411512</v>
      </c>
    </row>
    <row r="14" spans="1:19" x14ac:dyDescent="0.2">
      <c r="B14" t="s">
        <v>47</v>
      </c>
      <c r="C14" t="s">
        <v>47</v>
      </c>
      <c r="D14">
        <v>100</v>
      </c>
      <c r="F14" s="7"/>
      <c r="G14">
        <v>1</v>
      </c>
      <c r="H14" s="7" t="e">
        <f>+#REF!-#REF!</f>
        <v>#REF!</v>
      </c>
      <c r="I14" s="7" t="e">
        <f>+#REF!-#REF!</f>
        <v>#REF!</v>
      </c>
      <c r="J14" s="7"/>
      <c r="K14" s="7"/>
      <c r="L14" s="7"/>
      <c r="M14" s="3" t="e">
        <f>+I14*#REF!</f>
        <v>#REF!</v>
      </c>
      <c r="N14" s="3" t="e">
        <f>+H14-M14</f>
        <v>#REF!</v>
      </c>
    </row>
    <row r="17" spans="2:16" ht="25.5" x14ac:dyDescent="0.2">
      <c r="B17" s="22" t="s">
        <v>185</v>
      </c>
      <c r="C17" t="s">
        <v>46</v>
      </c>
      <c r="D17">
        <v>100</v>
      </c>
    </row>
    <row r="18" spans="2:16" ht="12.75" x14ac:dyDescent="0.2">
      <c r="B18" s="22" t="s">
        <v>107</v>
      </c>
    </row>
    <row r="22" spans="2:16" ht="48" x14ac:dyDescent="0.2">
      <c r="B22" t="s">
        <v>37</v>
      </c>
      <c r="C22" t="s">
        <v>45</v>
      </c>
      <c r="F22" s="1"/>
      <c r="G22" s="1" t="s">
        <v>42</v>
      </c>
      <c r="H22" s="1" t="s">
        <v>36</v>
      </c>
      <c r="I22" s="1" t="s">
        <v>39</v>
      </c>
      <c r="J22" s="1"/>
      <c r="K22" s="1"/>
      <c r="L22" s="1"/>
      <c r="M22" s="1" t="s">
        <v>38</v>
      </c>
      <c r="N22" s="1" t="s">
        <v>40</v>
      </c>
      <c r="O22" s="1" t="s">
        <v>157</v>
      </c>
      <c r="P22" s="1" t="s">
        <v>158</v>
      </c>
    </row>
    <row r="24" spans="2:16" x14ac:dyDescent="0.2">
      <c r="B24" t="s">
        <v>89</v>
      </c>
      <c r="C24" t="s">
        <v>46</v>
      </c>
      <c r="D24">
        <v>100</v>
      </c>
      <c r="F24" s="7"/>
      <c r="G24">
        <v>1</v>
      </c>
      <c r="H24" s="7" t="e">
        <f>+#REF!-#REF!</f>
        <v>#REF!</v>
      </c>
      <c r="I24" s="7" t="e">
        <f>+#REF!-#REF!</f>
        <v>#REF!</v>
      </c>
      <c r="J24" s="7"/>
      <c r="K24" s="7"/>
      <c r="L24" s="7"/>
      <c r="M24" t="e">
        <f>+I24*#REF!</f>
        <v>#REF!</v>
      </c>
      <c r="N24" s="7" t="e">
        <f>+I24-M24</f>
        <v>#REF!</v>
      </c>
    </row>
    <row r="29" spans="2:16" ht="14.25" x14ac:dyDescent="0.2">
      <c r="B29" s="75" t="s">
        <v>182</v>
      </c>
      <c r="C29" t="s">
        <v>46</v>
      </c>
      <c r="D29">
        <v>100</v>
      </c>
    </row>
  </sheetData>
  <mergeCells count="2">
    <mergeCell ref="H7:N7"/>
    <mergeCell ref="O7:P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7D0B-8572-46D0-8C13-3501679B0848}">
  <dimension ref="A1:T45"/>
  <sheetViews>
    <sheetView workbookViewId="0">
      <selection activeCell="J33" sqref="J33"/>
    </sheetView>
  </sheetViews>
  <sheetFormatPr defaultRowHeight="12" x14ac:dyDescent="0.2"/>
  <cols>
    <col min="1" max="1" width="30.140625" customWidth="1"/>
    <col min="2" max="2" width="40" customWidth="1"/>
    <col min="4" max="5" width="10.5703125" customWidth="1"/>
    <col min="18" max="18" width="10.28515625" customWidth="1"/>
  </cols>
  <sheetData>
    <row r="1" spans="1:20" ht="36" customHeight="1" x14ac:dyDescent="0.25">
      <c r="B1" s="2" t="s">
        <v>166</v>
      </c>
    </row>
    <row r="2" spans="1:20" ht="67.5" customHeight="1" x14ac:dyDescent="0.2">
      <c r="A2" t="s">
        <v>37</v>
      </c>
      <c r="C2" t="s">
        <v>4</v>
      </c>
      <c r="D2" s="1" t="s">
        <v>8</v>
      </c>
      <c r="E2" s="1" t="s">
        <v>9</v>
      </c>
      <c r="F2" t="s">
        <v>5</v>
      </c>
      <c r="G2" t="s">
        <v>0</v>
      </c>
      <c r="I2" s="1" t="s">
        <v>10</v>
      </c>
      <c r="J2" t="s">
        <v>1</v>
      </c>
      <c r="K2" t="s">
        <v>2</v>
      </c>
      <c r="L2" t="s">
        <v>3</v>
      </c>
      <c r="M2" s="1" t="s">
        <v>13</v>
      </c>
      <c r="N2" s="1" t="s">
        <v>23</v>
      </c>
      <c r="O2" s="1" t="s">
        <v>14</v>
      </c>
      <c r="P2" s="1" t="s">
        <v>15</v>
      </c>
      <c r="Q2" s="1" t="s">
        <v>164</v>
      </c>
      <c r="R2" s="1" t="s">
        <v>163</v>
      </c>
      <c r="S2" s="1" t="s">
        <v>165</v>
      </c>
      <c r="T2" s="1" t="s">
        <v>167</v>
      </c>
    </row>
    <row r="3" spans="1:20" ht="12.75" x14ac:dyDescent="0.2">
      <c r="A3" s="8" t="s">
        <v>44</v>
      </c>
      <c r="B3" t="s">
        <v>6</v>
      </c>
      <c r="C3">
        <v>550</v>
      </c>
      <c r="D3">
        <v>97</v>
      </c>
      <c r="E3">
        <f>+C3/D3</f>
        <v>5.6701030927835054</v>
      </c>
      <c r="F3">
        <v>0.8</v>
      </c>
      <c r="G3">
        <v>6.0999999999999999E-2</v>
      </c>
      <c r="I3">
        <v>19</v>
      </c>
      <c r="J3">
        <v>0.13700000000000001</v>
      </c>
      <c r="K3">
        <v>0.45</v>
      </c>
      <c r="L3">
        <v>0.67</v>
      </c>
      <c r="M3">
        <f>+E3*F3*G3*I3*J3*K3*L3</f>
        <v>0.21715621422680423</v>
      </c>
      <c r="N3">
        <v>1</v>
      </c>
      <c r="O3">
        <f>+M3*N3</f>
        <v>0.21715621422680423</v>
      </c>
      <c r="P3">
        <v>25</v>
      </c>
      <c r="Q3">
        <f>+O3*P3</f>
        <v>5.4289053556701061</v>
      </c>
    </row>
    <row r="4" spans="1:20" ht="12.75" x14ac:dyDescent="0.2">
      <c r="A4" s="8" t="s">
        <v>44</v>
      </c>
      <c r="B4" t="s">
        <v>7</v>
      </c>
      <c r="C4">
        <v>550</v>
      </c>
      <c r="D4">
        <v>97</v>
      </c>
      <c r="E4">
        <f>+C4/D4</f>
        <v>5.6701030927835054</v>
      </c>
      <c r="F4">
        <v>0.8</v>
      </c>
      <c r="G4">
        <v>6.0999999999999999E-2</v>
      </c>
      <c r="I4">
        <v>78</v>
      </c>
      <c r="J4">
        <v>0.13700000000000001</v>
      </c>
      <c r="K4">
        <v>0.45</v>
      </c>
      <c r="L4">
        <v>0.67</v>
      </c>
      <c r="M4">
        <f>+E4*F4*G4*I4*J4*K4*L4</f>
        <v>0.89148340577319607</v>
      </c>
      <c r="N4">
        <v>1</v>
      </c>
      <c r="O4">
        <f>+M4*N4</f>
        <v>0.89148340577319607</v>
      </c>
      <c r="P4">
        <v>25</v>
      </c>
      <c r="Q4">
        <f>+O4*P4</f>
        <v>22.2870851443299</v>
      </c>
    </row>
    <row r="5" spans="1:20" ht="12.75" x14ac:dyDescent="0.2">
      <c r="A5" s="8" t="s">
        <v>44</v>
      </c>
      <c r="B5" t="s">
        <v>12</v>
      </c>
      <c r="M5">
        <f>+M3+M4</f>
        <v>1.1086396200000004</v>
      </c>
      <c r="O5">
        <f>+O3+O4</f>
        <v>1.1086396200000004</v>
      </c>
      <c r="P5">
        <v>25</v>
      </c>
      <c r="Q5">
        <f>+O5*P5</f>
        <v>27.715990500000011</v>
      </c>
    </row>
    <row r="10" spans="1:20" x14ac:dyDescent="0.2">
      <c r="B10" t="s">
        <v>11</v>
      </c>
    </row>
    <row r="11" spans="1:20" x14ac:dyDescent="0.2">
      <c r="B11" t="s">
        <v>4</v>
      </c>
      <c r="D11" t="s">
        <v>16</v>
      </c>
    </row>
    <row r="12" spans="1:20" x14ac:dyDescent="0.2">
      <c r="B12" s="1" t="s">
        <v>8</v>
      </c>
      <c r="D12" t="s">
        <v>24</v>
      </c>
    </row>
    <row r="13" spans="1:20" x14ac:dyDescent="0.2">
      <c r="B13" t="s">
        <v>5</v>
      </c>
      <c r="C13">
        <v>0.8</v>
      </c>
      <c r="D13" t="s">
        <v>18</v>
      </c>
    </row>
    <row r="14" spans="1:20" x14ac:dyDescent="0.2">
      <c r="B14" t="s">
        <v>0</v>
      </c>
      <c r="D14" t="s">
        <v>16</v>
      </c>
    </row>
    <row r="15" spans="1:20" x14ac:dyDescent="0.2">
      <c r="B15" t="s">
        <v>1</v>
      </c>
    </row>
    <row r="16" spans="1:20" x14ac:dyDescent="0.2">
      <c r="B16" t="s">
        <v>2</v>
      </c>
      <c r="C16">
        <v>0.45</v>
      </c>
      <c r="D16" t="s">
        <v>17</v>
      </c>
    </row>
    <row r="17" spans="2:13" x14ac:dyDescent="0.2">
      <c r="B17" t="s">
        <v>3</v>
      </c>
      <c r="C17">
        <v>0.67</v>
      </c>
      <c r="D17" t="s">
        <v>17</v>
      </c>
    </row>
    <row r="18" spans="2:13" x14ac:dyDescent="0.2">
      <c r="B18" t="s">
        <v>15</v>
      </c>
      <c r="C18">
        <v>25</v>
      </c>
      <c r="D18" t="s">
        <v>17</v>
      </c>
    </row>
    <row r="19" spans="2:13" x14ac:dyDescent="0.2">
      <c r="B19" t="s">
        <v>19</v>
      </c>
      <c r="D19" t="s">
        <v>20</v>
      </c>
    </row>
    <row r="20" spans="2:13" x14ac:dyDescent="0.2">
      <c r="B20" s="1" t="s">
        <v>21</v>
      </c>
      <c r="D20" t="s">
        <v>22</v>
      </c>
    </row>
    <row r="23" spans="2:13" ht="15.75" x14ac:dyDescent="0.25">
      <c r="B23" s="443" t="s">
        <v>68</v>
      </c>
      <c r="C23" s="443"/>
      <c r="D23" s="443"/>
      <c r="E23" s="443"/>
      <c r="F23" s="443"/>
      <c r="G23" s="443"/>
      <c r="H23" s="443"/>
      <c r="I23" s="443"/>
      <c r="J23" s="443"/>
      <c r="K23" s="443"/>
      <c r="L23" s="443"/>
    </row>
    <row r="24" spans="2:13" ht="36" x14ac:dyDescent="0.2">
      <c r="B24" t="s">
        <v>69</v>
      </c>
      <c r="C24" t="s">
        <v>25</v>
      </c>
      <c r="D24" s="1" t="s">
        <v>26</v>
      </c>
      <c r="E24" s="1" t="s">
        <v>66</v>
      </c>
      <c r="F24" t="s">
        <v>27</v>
      </c>
      <c r="G24" s="1" t="s">
        <v>28</v>
      </c>
      <c r="H24" s="1" t="s">
        <v>61</v>
      </c>
      <c r="I24" s="1" t="s">
        <v>50</v>
      </c>
      <c r="J24" s="1" t="s">
        <v>54</v>
      </c>
      <c r="K24" s="1" t="s">
        <v>64</v>
      </c>
      <c r="L24" s="1" t="s">
        <v>60</v>
      </c>
      <c r="M24" s="1"/>
    </row>
    <row r="25" spans="2:13" x14ac:dyDescent="0.2">
      <c r="B25" t="s">
        <v>51</v>
      </c>
      <c r="C25">
        <v>31</v>
      </c>
      <c r="D25">
        <v>86.25</v>
      </c>
      <c r="E25" s="4">
        <f>+D25*1.31</f>
        <v>112.98750000000001</v>
      </c>
      <c r="F25" s="4">
        <f>+E25-C25</f>
        <v>81.987500000000011</v>
      </c>
      <c r="G25">
        <v>2.77</v>
      </c>
      <c r="H25" s="5">
        <f>+F25*G25</f>
        <v>227.10537500000004</v>
      </c>
      <c r="I25">
        <v>17.3</v>
      </c>
      <c r="J25">
        <v>6.0000000000000001E-3</v>
      </c>
      <c r="K25">
        <v>55.56</v>
      </c>
      <c r="L25">
        <f>+H25*I25*J25/K25</f>
        <v>0.42428973947084242</v>
      </c>
      <c r="M25" s="3"/>
    </row>
    <row r="26" spans="2:13" x14ac:dyDescent="0.2">
      <c r="B26" t="s">
        <v>52</v>
      </c>
      <c r="C26">
        <v>7</v>
      </c>
      <c r="E26">
        <v>31</v>
      </c>
      <c r="F26" s="4">
        <f>+E26-C26</f>
        <v>24</v>
      </c>
      <c r="G26">
        <v>1.85</v>
      </c>
      <c r="H26">
        <f>+F26*G26</f>
        <v>44.400000000000006</v>
      </c>
      <c r="I26">
        <v>16.5</v>
      </c>
      <c r="J26">
        <v>6.0000000000000001E-3</v>
      </c>
      <c r="K26">
        <v>55.56</v>
      </c>
      <c r="L26">
        <f>+H26*I26*J26/K26</f>
        <v>7.9114470842332626E-2</v>
      </c>
    </row>
    <row r="27" spans="2:13" x14ac:dyDescent="0.2">
      <c r="B27" t="s">
        <v>53</v>
      </c>
      <c r="H27">
        <v>1475</v>
      </c>
      <c r="I27">
        <v>17.5</v>
      </c>
      <c r="J27">
        <v>6.0000000000000001E-3</v>
      </c>
      <c r="K27">
        <v>55.56</v>
      </c>
      <c r="L27">
        <f>+H27*I27*J27/K27</f>
        <v>2.7875269978401729</v>
      </c>
    </row>
    <row r="30" spans="2:13" x14ac:dyDescent="0.2">
      <c r="B30" t="s">
        <v>70</v>
      </c>
      <c r="C30" t="s">
        <v>62</v>
      </c>
    </row>
    <row r="31" spans="2:13" x14ac:dyDescent="0.2">
      <c r="B31" t="s">
        <v>55</v>
      </c>
      <c r="C31" t="s">
        <v>56</v>
      </c>
    </row>
    <row r="32" spans="2:13" x14ac:dyDescent="0.2">
      <c r="B32" t="s">
        <v>67</v>
      </c>
      <c r="C32" t="s">
        <v>57</v>
      </c>
      <c r="D32" t="s">
        <v>58</v>
      </c>
      <c r="E32">
        <v>17.3</v>
      </c>
    </row>
    <row r="33" spans="2:20" x14ac:dyDescent="0.2">
      <c r="D33" t="s">
        <v>52</v>
      </c>
      <c r="E33">
        <v>16.5</v>
      </c>
    </row>
    <row r="34" spans="2:20" x14ac:dyDescent="0.2">
      <c r="D34" t="s">
        <v>53</v>
      </c>
      <c r="E34">
        <v>17.5</v>
      </c>
    </row>
    <row r="35" spans="2:20" x14ac:dyDescent="0.2">
      <c r="B35" t="s">
        <v>59</v>
      </c>
      <c r="C35" t="s">
        <v>65</v>
      </c>
      <c r="D35" t="s">
        <v>63</v>
      </c>
    </row>
    <row r="43" spans="2:20" x14ac:dyDescent="0.2">
      <c r="T43" s="3"/>
    </row>
    <row r="44" spans="2:20" x14ac:dyDescent="0.2">
      <c r="T44" s="3"/>
    </row>
    <row r="45" spans="2:20" x14ac:dyDescent="0.2">
      <c r="T45" s="3"/>
    </row>
  </sheetData>
  <mergeCells count="1">
    <mergeCell ref="B23:L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DE1E2-8D55-4069-BFC0-1E4D55C095FA}">
  <dimension ref="A1:C278"/>
  <sheetViews>
    <sheetView tabSelected="1" zoomScaleNormal="100" workbookViewId="0">
      <selection activeCell="A11" sqref="A11"/>
    </sheetView>
  </sheetViews>
  <sheetFormatPr defaultRowHeight="12" x14ac:dyDescent="0.2"/>
  <cols>
    <col min="1" max="1" width="9.28515625" customWidth="1"/>
    <col min="2" max="2" width="128.7109375" customWidth="1"/>
    <col min="3" max="3" width="8.85546875" customWidth="1"/>
  </cols>
  <sheetData>
    <row r="1" spans="1:3" ht="18" customHeight="1" x14ac:dyDescent="0.2">
      <c r="A1" s="437"/>
      <c r="B1" s="437"/>
      <c r="C1" s="437"/>
    </row>
    <row r="2" spans="1:3" x14ac:dyDescent="0.2">
      <c r="A2" s="437"/>
      <c r="B2" s="437"/>
      <c r="C2" s="437"/>
    </row>
    <row r="3" spans="1:3" ht="51.75" customHeight="1" x14ac:dyDescent="0.3">
      <c r="A3" s="437"/>
      <c r="B3" s="438" t="s">
        <v>499</v>
      </c>
      <c r="C3" s="439"/>
    </row>
    <row r="4" spans="1:3" x14ac:dyDescent="0.2">
      <c r="A4" s="437"/>
      <c r="B4" s="439"/>
      <c r="C4" s="439"/>
    </row>
    <row r="5" spans="1:3" x14ac:dyDescent="0.2">
      <c r="A5" s="437"/>
      <c r="B5" s="439"/>
      <c r="C5" s="439"/>
    </row>
    <row r="6" spans="1:3" x14ac:dyDescent="0.2">
      <c r="A6" s="437"/>
      <c r="B6" s="439"/>
      <c r="C6" s="439"/>
    </row>
    <row r="7" spans="1:3" ht="18" x14ac:dyDescent="0.25">
      <c r="A7" s="440"/>
      <c r="B7" s="441"/>
      <c r="C7" s="442"/>
    </row>
    <row r="8" spans="1:3" ht="17.25" customHeight="1" x14ac:dyDescent="0.2">
      <c r="A8" s="437"/>
      <c r="B8" s="480" t="s">
        <v>500</v>
      </c>
      <c r="C8" s="439"/>
    </row>
    <row r="9" spans="1:3" x14ac:dyDescent="0.2">
      <c r="A9" s="437"/>
      <c r="B9" s="439"/>
      <c r="C9" s="439"/>
    </row>
    <row r="277" spans="1:1" ht="14.25" x14ac:dyDescent="0.2">
      <c r="A277" s="398" t="s">
        <v>497</v>
      </c>
    </row>
    <row r="278" spans="1:1" x14ac:dyDescent="0.2">
      <c r="A278" s="422" t="s">
        <v>496</v>
      </c>
    </row>
  </sheetData>
  <hyperlinks>
    <hyperlink ref="A278" r:id="rId1" display="Normtal-svin.xlsx" xr:uid="{87E043A6-AC51-467A-B101-D261E52FCF57}"/>
    <hyperlink ref="B8" r:id="rId2" xr:uid="{850856E0-F4A2-4895-97A2-465C83380F34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ADA9-9C17-4CFF-A2B9-DB240789049D}">
  <dimension ref="A1:N74"/>
  <sheetViews>
    <sheetView workbookViewId="0">
      <selection activeCell="A77" sqref="A77"/>
    </sheetView>
  </sheetViews>
  <sheetFormatPr defaultRowHeight="12" x14ac:dyDescent="0.2"/>
  <cols>
    <col min="1" max="1" width="83.5703125" customWidth="1"/>
    <col min="2" max="2" width="20.140625" customWidth="1"/>
    <col min="3" max="4" width="12.28515625" customWidth="1"/>
    <col min="5" max="5" width="17.42578125" customWidth="1"/>
    <col min="6" max="6" width="14.7109375" customWidth="1"/>
    <col min="7" max="7" width="18" hidden="1" customWidth="1"/>
    <col min="8" max="9" width="14.5703125" customWidth="1"/>
    <col min="10" max="10" width="15.42578125" customWidth="1"/>
    <col min="11" max="11" width="18.42578125" customWidth="1"/>
    <col min="12" max="12" width="16.140625" customWidth="1"/>
    <col min="13" max="14" width="13.28515625" customWidth="1"/>
  </cols>
  <sheetData>
    <row r="1" spans="1:14" ht="15" thickBot="1" x14ac:dyDescent="0.25">
      <c r="A1" s="189"/>
      <c r="B1" s="234"/>
      <c r="C1" s="234"/>
      <c r="D1" s="234"/>
      <c r="E1" s="190">
        <v>1</v>
      </c>
      <c r="F1" s="190">
        <v>2</v>
      </c>
      <c r="G1" s="190">
        <v>3</v>
      </c>
      <c r="H1" s="190">
        <v>4</v>
      </c>
      <c r="I1" s="190"/>
      <c r="J1" s="191">
        <v>5</v>
      </c>
    </row>
    <row r="2" spans="1:14" ht="87" thickBot="1" x14ac:dyDescent="0.3">
      <c r="A2" s="238" t="s">
        <v>52</v>
      </c>
      <c r="B2" s="239" t="s">
        <v>190</v>
      </c>
      <c r="C2" s="193" t="s">
        <v>386</v>
      </c>
      <c r="D2" s="239" t="s">
        <v>94</v>
      </c>
      <c r="E2" s="239" t="s">
        <v>312</v>
      </c>
      <c r="F2" s="241" t="s">
        <v>313</v>
      </c>
      <c r="G2" s="240" t="s">
        <v>128</v>
      </c>
      <c r="H2" s="400" t="s">
        <v>315</v>
      </c>
      <c r="I2" s="401" t="s">
        <v>389</v>
      </c>
      <c r="J2" s="380" t="s">
        <v>130</v>
      </c>
      <c r="K2" s="233"/>
      <c r="L2" s="233"/>
    </row>
    <row r="3" spans="1:14" ht="57" thickBot="1" x14ac:dyDescent="0.35">
      <c r="A3" s="235" t="s">
        <v>37</v>
      </c>
      <c r="B3" s="236"/>
      <c r="C3" s="236"/>
      <c r="D3" s="236"/>
      <c r="E3" s="237" t="s">
        <v>132</v>
      </c>
      <c r="F3" s="242"/>
      <c r="G3" s="237" t="s">
        <v>133</v>
      </c>
      <c r="H3" s="237" t="s">
        <v>424</v>
      </c>
      <c r="I3" s="237"/>
      <c r="J3" s="381" t="s">
        <v>162</v>
      </c>
      <c r="K3" s="205"/>
      <c r="L3" s="223"/>
    </row>
    <row r="4" spans="1:14" ht="15" hidden="1" thickBot="1" x14ac:dyDescent="0.25">
      <c r="A4" s="75" t="s">
        <v>135</v>
      </c>
      <c r="B4" s="99"/>
      <c r="C4" s="99"/>
      <c r="D4" s="99"/>
      <c r="E4" s="77">
        <v>0.2</v>
      </c>
      <c r="F4" s="243" t="e">
        <f>#REF!/0.79</f>
        <v>#REF!</v>
      </c>
      <c r="G4" s="77">
        <v>0.2</v>
      </c>
      <c r="H4" s="77">
        <v>0.6</v>
      </c>
      <c r="I4" s="77"/>
      <c r="J4" s="382">
        <f>IF('[1]Slaughter pigs'!$E$4=2005, 14.18, 13.7)</f>
        <v>13.7</v>
      </c>
    </row>
    <row r="5" spans="1:14" ht="15" x14ac:dyDescent="0.25">
      <c r="A5" s="330" t="s">
        <v>89</v>
      </c>
      <c r="B5" s="331">
        <v>100</v>
      </c>
      <c r="C5" s="331">
        <v>0.13300000000000001</v>
      </c>
      <c r="D5" s="331">
        <v>5</v>
      </c>
      <c r="E5" s="325">
        <f>E6</f>
        <v>0.2</v>
      </c>
      <c r="F5" s="326">
        <f>+H28</f>
        <v>10.909090909090908</v>
      </c>
      <c r="G5" s="325">
        <v>0.2</v>
      </c>
      <c r="H5" s="325">
        <v>0.5</v>
      </c>
      <c r="I5" s="332">
        <f>+I28</f>
        <v>4.0816326530612237</v>
      </c>
      <c r="J5" s="383">
        <v>13.4</v>
      </c>
    </row>
    <row r="6" spans="1:14" ht="14.25" x14ac:dyDescent="0.2">
      <c r="A6" s="320" t="s">
        <v>150</v>
      </c>
      <c r="B6" s="321">
        <v>100</v>
      </c>
      <c r="C6" s="321">
        <v>0.13300000000000001</v>
      </c>
      <c r="D6" s="321">
        <v>4.4000000000000004</v>
      </c>
      <c r="E6" s="322">
        <v>0.2</v>
      </c>
      <c r="F6" s="323">
        <f>+H29</f>
        <v>21.818181818181817</v>
      </c>
      <c r="G6" s="322">
        <v>0.2</v>
      </c>
      <c r="H6" s="322">
        <v>0.5</v>
      </c>
      <c r="I6" s="324">
        <f>+I29</f>
        <v>4.6511627906976738</v>
      </c>
      <c r="J6" s="384">
        <v>13.4</v>
      </c>
    </row>
    <row r="7" spans="1:14" ht="14.25" x14ac:dyDescent="0.2">
      <c r="A7" s="136" t="s">
        <v>73</v>
      </c>
      <c r="B7" s="100">
        <v>80</v>
      </c>
      <c r="C7" s="100" t="s">
        <v>387</v>
      </c>
      <c r="D7" s="100" t="s">
        <v>388</v>
      </c>
      <c r="E7" s="322">
        <v>0.2</v>
      </c>
      <c r="F7" s="323">
        <f>+H30</f>
        <v>36.36363636363636</v>
      </c>
      <c r="G7" s="322">
        <v>1</v>
      </c>
      <c r="H7" s="322">
        <v>0.5</v>
      </c>
      <c r="I7" s="327">
        <f>+I30</f>
        <v>39.999999999999993</v>
      </c>
      <c r="J7" s="384">
        <v>11.4</v>
      </c>
    </row>
    <row r="8" spans="1:14" ht="15" thickBot="1" x14ac:dyDescent="0.25">
      <c r="A8" s="141" t="s">
        <v>47</v>
      </c>
      <c r="B8" s="139">
        <v>0</v>
      </c>
      <c r="C8" s="139">
        <v>2.5999999999999999E-2</v>
      </c>
      <c r="D8" s="139">
        <v>33</v>
      </c>
      <c r="E8" s="328">
        <v>1</v>
      </c>
      <c r="F8" s="329">
        <f>+H31</f>
        <v>25.454545454545457</v>
      </c>
      <c r="G8" s="328">
        <v>1</v>
      </c>
      <c r="H8" s="328">
        <v>7</v>
      </c>
      <c r="I8" s="333">
        <f>+I31</f>
        <v>24.390243902439018</v>
      </c>
      <c r="J8" s="385">
        <v>7.2</v>
      </c>
    </row>
    <row r="9" spans="1:14" ht="15" thickBot="1" x14ac:dyDescent="0.25">
      <c r="A9" s="138" t="s">
        <v>414</v>
      </c>
      <c r="B9" s="139"/>
      <c r="C9" s="139"/>
      <c r="D9" s="139"/>
      <c r="E9" s="139"/>
      <c r="F9" s="245"/>
      <c r="G9" s="139"/>
      <c r="H9" s="139"/>
      <c r="I9" s="139"/>
      <c r="J9" s="386"/>
    </row>
    <row r="10" spans="1:14" ht="15" thickBot="1" x14ac:dyDescent="0.25">
      <c r="A10" s="71" t="s">
        <v>385</v>
      </c>
      <c r="B10" s="114"/>
      <c r="C10" s="37">
        <v>7.0000000000000007E-2</v>
      </c>
      <c r="D10" s="37">
        <v>8.6</v>
      </c>
      <c r="E10" s="140">
        <v>1</v>
      </c>
      <c r="F10" s="377">
        <f>+H33</f>
        <v>0</v>
      </c>
      <c r="G10" s="114"/>
      <c r="H10" s="431">
        <v>0.5</v>
      </c>
      <c r="I10" s="432">
        <f>+I33</f>
        <v>0</v>
      </c>
      <c r="J10" s="38">
        <v>1</v>
      </c>
      <c r="N10" s="184"/>
    </row>
    <row r="11" spans="1:14" ht="14.25" x14ac:dyDescent="0.2">
      <c r="A11" s="59" t="s">
        <v>193</v>
      </c>
      <c r="B11" s="100">
        <v>85</v>
      </c>
      <c r="C11" s="100" t="s">
        <v>417</v>
      </c>
      <c r="D11" s="100" t="s">
        <v>409</v>
      </c>
      <c r="E11" s="100">
        <v>1</v>
      </c>
      <c r="F11" s="378">
        <f t="shared" ref="F11:F12" si="0">+H34</f>
        <v>17.142857142857142</v>
      </c>
      <c r="G11" s="100"/>
      <c r="H11" s="433">
        <v>0.5</v>
      </c>
      <c r="I11" s="434">
        <f t="shared" ref="I11:I12" si="1">+I34</f>
        <v>6.8965517241379315</v>
      </c>
      <c r="J11" s="164" t="s">
        <v>418</v>
      </c>
    </row>
    <row r="12" spans="1:14" ht="15" thickBot="1" x14ac:dyDescent="0.25">
      <c r="A12" s="60" t="s">
        <v>192</v>
      </c>
      <c r="B12" s="139">
        <v>100</v>
      </c>
      <c r="C12" s="139">
        <v>0.12</v>
      </c>
      <c r="D12" s="139">
        <v>5</v>
      </c>
      <c r="E12" s="139">
        <v>0.2</v>
      </c>
      <c r="F12" s="379">
        <f t="shared" si="0"/>
        <v>22.857142857142858</v>
      </c>
      <c r="G12" s="139"/>
      <c r="H12" s="435">
        <v>0.5</v>
      </c>
      <c r="I12" s="436">
        <f t="shared" si="1"/>
        <v>3.7037037037037042</v>
      </c>
      <c r="J12" s="430">
        <v>13.4</v>
      </c>
    </row>
    <row r="13" spans="1:14" ht="19.5" thickBot="1" x14ac:dyDescent="0.35">
      <c r="A13" s="72" t="s">
        <v>160</v>
      </c>
      <c r="B13" s="169"/>
      <c r="C13" s="169"/>
      <c r="D13" s="169"/>
      <c r="E13" s="170"/>
      <c r="F13" s="245"/>
      <c r="G13" s="145"/>
      <c r="H13" s="171"/>
      <c r="I13" s="171"/>
      <c r="J13" s="221"/>
    </row>
    <row r="14" spans="1:14" ht="18.75" x14ac:dyDescent="0.3">
      <c r="A14" s="149" t="s">
        <v>269</v>
      </c>
      <c r="B14" s="172"/>
      <c r="C14" s="172"/>
      <c r="D14" s="172"/>
      <c r="E14" s="167"/>
      <c r="F14" s="244"/>
      <c r="G14" s="140"/>
      <c r="H14" s="173"/>
      <c r="I14" s="173"/>
      <c r="J14" s="218"/>
    </row>
    <row r="15" spans="1:14" ht="14.25" x14ac:dyDescent="0.2">
      <c r="A15" s="147" t="s">
        <v>140</v>
      </c>
      <c r="B15" s="162"/>
      <c r="C15" s="162"/>
      <c r="D15" s="162"/>
      <c r="E15" s="174"/>
      <c r="F15" s="220">
        <v>-0.88</v>
      </c>
      <c r="G15" s="100"/>
      <c r="H15" s="100"/>
      <c r="I15" s="100"/>
      <c r="J15" s="220">
        <v>0</v>
      </c>
    </row>
    <row r="16" spans="1:14" ht="14.25" x14ac:dyDescent="0.2">
      <c r="A16" s="147" t="s">
        <v>141</v>
      </c>
      <c r="B16" s="162"/>
      <c r="C16" s="162"/>
      <c r="D16" s="162"/>
      <c r="E16" s="100"/>
      <c r="F16" s="220">
        <v>-0.56000000000000005</v>
      </c>
      <c r="G16" s="100"/>
      <c r="H16" s="100"/>
      <c r="I16" s="100"/>
      <c r="J16" s="221">
        <v>0</v>
      </c>
    </row>
    <row r="17" spans="1:11" ht="14.25" x14ac:dyDescent="0.2">
      <c r="A17" s="147" t="s">
        <v>142</v>
      </c>
      <c r="B17" s="162"/>
      <c r="C17" s="162"/>
      <c r="D17" s="162"/>
      <c r="E17" s="100"/>
      <c r="F17" s="220">
        <v>0.08</v>
      </c>
      <c r="G17" s="100"/>
      <c r="H17" s="100"/>
      <c r="I17" s="100"/>
      <c r="J17" s="387">
        <v>-7.4999999999999997E-2</v>
      </c>
    </row>
    <row r="18" spans="1:11" ht="14.25" x14ac:dyDescent="0.2">
      <c r="A18" s="147" t="s">
        <v>143</v>
      </c>
      <c r="B18" s="162"/>
      <c r="C18" s="162"/>
      <c r="D18" s="162"/>
      <c r="E18" s="100"/>
      <c r="F18" s="220">
        <v>-0.89</v>
      </c>
      <c r="G18" s="100"/>
      <c r="H18" s="100"/>
      <c r="I18" s="100"/>
      <c r="J18" s="220">
        <v>-0.44</v>
      </c>
    </row>
    <row r="19" spans="1:11" ht="14.25" x14ac:dyDescent="0.2">
      <c r="A19" s="147" t="s">
        <v>144</v>
      </c>
      <c r="B19" s="162"/>
      <c r="C19" s="162"/>
      <c r="D19" s="162"/>
      <c r="E19" s="100"/>
      <c r="F19" s="220">
        <v>-0.61</v>
      </c>
      <c r="G19" s="100"/>
      <c r="H19" s="100"/>
      <c r="I19" s="100"/>
      <c r="J19" s="220">
        <v>-0.44</v>
      </c>
    </row>
    <row r="20" spans="1:11" ht="14.25" x14ac:dyDescent="0.2">
      <c r="A20" s="147" t="s">
        <v>145</v>
      </c>
      <c r="B20" s="162"/>
      <c r="C20" s="162"/>
      <c r="D20" s="162"/>
      <c r="E20" s="174"/>
      <c r="F20" s="221">
        <v>0</v>
      </c>
      <c r="G20" s="100"/>
      <c r="H20" s="100"/>
      <c r="I20" s="100"/>
      <c r="J20" s="220">
        <v>-0.39</v>
      </c>
    </row>
    <row r="21" spans="1:11" ht="14.25" x14ac:dyDescent="0.2">
      <c r="A21" s="147" t="s">
        <v>146</v>
      </c>
      <c r="B21" s="162"/>
      <c r="C21" s="162"/>
      <c r="D21" s="162"/>
      <c r="E21" s="174"/>
      <c r="F21" s="220">
        <v>-0.64</v>
      </c>
      <c r="G21" s="100"/>
      <c r="H21" s="100"/>
      <c r="I21" s="100"/>
      <c r="J21" s="220">
        <v>-0.6</v>
      </c>
    </row>
    <row r="22" spans="1:11" ht="14.25" x14ac:dyDescent="0.2">
      <c r="A22" s="147" t="s">
        <v>147</v>
      </c>
      <c r="B22" s="162"/>
      <c r="C22" s="162"/>
      <c r="D22" s="162"/>
      <c r="E22" s="174"/>
      <c r="F22" s="221">
        <v>0</v>
      </c>
      <c r="G22" s="100"/>
      <c r="H22" s="100"/>
      <c r="I22" s="100"/>
      <c r="J22" s="220">
        <v>-0.22600000000000001</v>
      </c>
    </row>
    <row r="23" spans="1:11" ht="14.25" x14ac:dyDescent="0.2">
      <c r="A23" s="147" t="s">
        <v>148</v>
      </c>
      <c r="B23" s="162"/>
      <c r="C23" s="162"/>
      <c r="D23" s="162"/>
      <c r="E23" s="101"/>
      <c r="F23" s="222">
        <v>0</v>
      </c>
      <c r="G23" s="101"/>
      <c r="H23" s="100"/>
      <c r="I23" s="100"/>
      <c r="J23" s="388">
        <f>-69%</f>
        <v>-0.69</v>
      </c>
    </row>
    <row r="24" spans="1:11" ht="14.25" x14ac:dyDescent="0.2">
      <c r="A24" s="147" t="s">
        <v>149</v>
      </c>
      <c r="B24" s="162"/>
      <c r="C24" s="162"/>
      <c r="D24" s="162"/>
      <c r="E24" s="174"/>
      <c r="F24" s="247">
        <v>0</v>
      </c>
      <c r="G24" s="100"/>
      <c r="H24" s="100"/>
      <c r="I24" s="100"/>
      <c r="J24" s="220">
        <f>-69%</f>
        <v>-0.69</v>
      </c>
    </row>
    <row r="25" spans="1:11" ht="15" thickBot="1" x14ac:dyDescent="0.25">
      <c r="A25" s="148" t="s">
        <v>180</v>
      </c>
      <c r="B25" s="176"/>
      <c r="C25" s="176"/>
      <c r="D25" s="176"/>
      <c r="E25" s="196"/>
      <c r="F25" s="95">
        <v>0</v>
      </c>
      <c r="G25" s="196"/>
      <c r="H25" s="196"/>
      <c r="I25" s="224"/>
      <c r="J25" s="389">
        <v>-0.44</v>
      </c>
    </row>
    <row r="26" spans="1:11" ht="19.5" thickBot="1" x14ac:dyDescent="0.35">
      <c r="A26" s="72"/>
      <c r="B26" s="72"/>
      <c r="C26" s="72"/>
      <c r="D26" s="72"/>
      <c r="E26" s="79"/>
      <c r="F26" s="76"/>
      <c r="G26" s="77"/>
      <c r="H26" s="78"/>
      <c r="I26" s="78"/>
      <c r="J26" s="77"/>
    </row>
    <row r="27" spans="1:11" ht="36.75" x14ac:dyDescent="0.25">
      <c r="A27" s="2" t="s">
        <v>189</v>
      </c>
      <c r="B27" s="1" t="s">
        <v>174</v>
      </c>
      <c r="C27" s="1" t="s">
        <v>176</v>
      </c>
      <c r="D27" s="305" t="s">
        <v>310</v>
      </c>
      <c r="E27" s="1" t="s">
        <v>311</v>
      </c>
      <c r="F27" s="259" t="s">
        <v>379</v>
      </c>
      <c r="H27" s="259" t="s">
        <v>377</v>
      </c>
      <c r="I27" s="259" t="s">
        <v>378</v>
      </c>
    </row>
    <row r="28" spans="1:11" ht="15" x14ac:dyDescent="0.25">
      <c r="A28" s="87" t="s">
        <v>89</v>
      </c>
      <c r="B28">
        <v>0.3</v>
      </c>
      <c r="C28" s="3">
        <v>6</v>
      </c>
      <c r="D28" s="304">
        <v>0.56000000000000005</v>
      </c>
      <c r="E28" s="7">
        <v>0.27500000000000002</v>
      </c>
      <c r="F28" s="7">
        <f>+E28*(100-H28)/100</f>
        <v>0.24500000000000002</v>
      </c>
      <c r="H28" s="5">
        <f t="shared" ref="H28:I31" si="2">+J28*100/E28</f>
        <v>10.909090909090908</v>
      </c>
      <c r="I28" s="4">
        <f t="shared" si="2"/>
        <v>4.0816326530612237</v>
      </c>
      <c r="J28">
        <v>0.03</v>
      </c>
      <c r="K28">
        <v>0.01</v>
      </c>
    </row>
    <row r="29" spans="1:11" ht="14.25" x14ac:dyDescent="0.2">
      <c r="A29" s="85" t="s">
        <v>150</v>
      </c>
      <c r="B29">
        <v>0.3</v>
      </c>
      <c r="C29" s="3">
        <v>6</v>
      </c>
      <c r="D29" s="304">
        <v>1.2</v>
      </c>
      <c r="E29" s="7">
        <v>0.27500000000000002</v>
      </c>
      <c r="F29" s="7">
        <f>+E29*(100-H29)/100</f>
        <v>0.21500000000000002</v>
      </c>
      <c r="H29" s="5">
        <f t="shared" si="2"/>
        <v>21.818181818181817</v>
      </c>
      <c r="I29" s="4">
        <f t="shared" si="2"/>
        <v>4.6511627906976738</v>
      </c>
      <c r="J29">
        <v>0.06</v>
      </c>
      <c r="K29">
        <v>0.01</v>
      </c>
    </row>
    <row r="30" spans="1:11" ht="14.25" x14ac:dyDescent="0.2">
      <c r="A30" s="75" t="s">
        <v>73</v>
      </c>
      <c r="B30">
        <v>0.3</v>
      </c>
      <c r="C30" s="3">
        <v>6</v>
      </c>
      <c r="D30" s="304">
        <v>2</v>
      </c>
      <c r="E30" s="7">
        <v>0.27500000000000002</v>
      </c>
      <c r="F30" s="7">
        <f>+E30*(100-H30)/100</f>
        <v>0.17500000000000004</v>
      </c>
      <c r="H30" s="5">
        <f t="shared" si="2"/>
        <v>36.36363636363636</v>
      </c>
      <c r="I30" s="5">
        <f t="shared" si="2"/>
        <v>39.999999999999993</v>
      </c>
      <c r="J30">
        <v>0.1</v>
      </c>
      <c r="K30">
        <v>7.0000000000000007E-2</v>
      </c>
    </row>
    <row r="31" spans="1:11" ht="14.25" x14ac:dyDescent="0.2">
      <c r="A31" s="75" t="s">
        <v>47</v>
      </c>
      <c r="B31">
        <v>0.3</v>
      </c>
      <c r="C31" s="3">
        <v>6</v>
      </c>
      <c r="D31" s="304">
        <v>1.4</v>
      </c>
      <c r="E31" s="7">
        <v>0.27500000000000002</v>
      </c>
      <c r="F31" s="7">
        <f>+E31*(100-H31)/100</f>
        <v>0.20500000000000004</v>
      </c>
      <c r="H31" s="5">
        <f t="shared" si="2"/>
        <v>25.454545454545457</v>
      </c>
      <c r="I31" s="5">
        <f t="shared" si="2"/>
        <v>24.390243902439018</v>
      </c>
      <c r="J31">
        <v>7.0000000000000007E-2</v>
      </c>
      <c r="K31">
        <v>0.05</v>
      </c>
    </row>
    <row r="32" spans="1:11" ht="15.75" thickBot="1" x14ac:dyDescent="0.25">
      <c r="A32" s="306" t="s">
        <v>398</v>
      </c>
    </row>
    <row r="33" spans="1:11" ht="14.25" x14ac:dyDescent="0.2">
      <c r="A33" s="307" t="s">
        <v>381</v>
      </c>
      <c r="E33" s="7">
        <v>0.35</v>
      </c>
      <c r="F33">
        <f>+E33*(100-H33)/100</f>
        <v>0.35</v>
      </c>
      <c r="H33" s="5">
        <f>+J33*100/E33</f>
        <v>0</v>
      </c>
      <c r="I33">
        <v>0</v>
      </c>
      <c r="J33">
        <v>0</v>
      </c>
      <c r="K33">
        <v>0</v>
      </c>
    </row>
    <row r="34" spans="1:11" ht="14.25" x14ac:dyDescent="0.2">
      <c r="A34" s="136" t="s">
        <v>380</v>
      </c>
      <c r="E34" s="7">
        <v>0.35</v>
      </c>
      <c r="F34">
        <f>+E34*(100-H34)/100</f>
        <v>0.28999999999999998</v>
      </c>
      <c r="H34" s="5">
        <f>+J34*100/E34</f>
        <v>17.142857142857142</v>
      </c>
      <c r="I34" s="4">
        <f>+K34*100/F34</f>
        <v>6.8965517241379315</v>
      </c>
      <c r="J34">
        <v>0.06</v>
      </c>
      <c r="K34">
        <v>0.02</v>
      </c>
    </row>
    <row r="35" spans="1:11" ht="15" thickBot="1" x14ac:dyDescent="0.25">
      <c r="A35" s="141" t="s">
        <v>382</v>
      </c>
      <c r="E35" s="7">
        <v>0.35</v>
      </c>
      <c r="F35">
        <f>+E35*(100-H35)/100</f>
        <v>0.26999999999999996</v>
      </c>
      <c r="H35" s="5">
        <f>+J35*100/E35</f>
        <v>22.857142857142858</v>
      </c>
      <c r="I35" s="4">
        <f>+K35*100/F35</f>
        <v>3.7037037037037042</v>
      </c>
      <c r="J35">
        <v>0.08</v>
      </c>
      <c r="K35">
        <v>0.01</v>
      </c>
    </row>
    <row r="36" spans="1:11" x14ac:dyDescent="0.2">
      <c r="A36" t="s">
        <v>373</v>
      </c>
    </row>
    <row r="37" spans="1:11" ht="21.75" customHeight="1" thickBot="1" x14ac:dyDescent="0.25">
      <c r="A37" s="447" t="s">
        <v>331</v>
      </c>
      <c r="B37" s="447"/>
      <c r="C37" s="447"/>
      <c r="D37" s="447"/>
      <c r="E37" s="447"/>
      <c r="F37" s="447"/>
      <c r="G37" s="447"/>
    </row>
    <row r="38" spans="1:11" x14ac:dyDescent="0.2">
      <c r="A38" s="448" t="s">
        <v>332</v>
      </c>
      <c r="B38" s="450" t="s">
        <v>333</v>
      </c>
      <c r="C38" s="314"/>
      <c r="D38" s="314"/>
      <c r="E38" s="249" t="s">
        <v>334</v>
      </c>
      <c r="F38" s="450" t="s">
        <v>336</v>
      </c>
      <c r="G38" s="249" t="s">
        <v>337</v>
      </c>
    </row>
    <row r="39" spans="1:11" x14ac:dyDescent="0.2">
      <c r="A39" s="449"/>
      <c r="B39" s="451"/>
      <c r="C39" s="249"/>
      <c r="D39" s="249"/>
      <c r="E39" s="249" t="s">
        <v>335</v>
      </c>
      <c r="F39" s="451"/>
      <c r="G39" s="249" t="s">
        <v>338</v>
      </c>
    </row>
    <row r="40" spans="1:11" x14ac:dyDescent="0.2">
      <c r="A40" s="452" t="s">
        <v>339</v>
      </c>
      <c r="B40" s="452"/>
      <c r="C40" s="452"/>
      <c r="D40" s="452"/>
      <c r="E40" s="452"/>
      <c r="F40" s="452"/>
      <c r="G40" s="452"/>
    </row>
    <row r="41" spans="1:11" x14ac:dyDescent="0.2">
      <c r="A41" s="248" t="s">
        <v>340</v>
      </c>
      <c r="B41" s="249" t="s">
        <v>341</v>
      </c>
      <c r="C41" s="249"/>
      <c r="D41" s="249"/>
      <c r="E41" s="249">
        <v>1</v>
      </c>
      <c r="F41" s="251">
        <v>0.66</v>
      </c>
      <c r="G41" s="249" t="s">
        <v>342</v>
      </c>
    </row>
    <row r="42" spans="1:11" x14ac:dyDescent="0.2">
      <c r="A42" s="252" t="s">
        <v>86</v>
      </c>
      <c r="B42" s="253" t="s">
        <v>341</v>
      </c>
      <c r="C42" s="253"/>
      <c r="D42" s="253"/>
      <c r="E42" s="253">
        <v>1</v>
      </c>
      <c r="F42" s="254">
        <v>1.3</v>
      </c>
      <c r="G42" s="253" t="s">
        <v>343</v>
      </c>
    </row>
    <row r="43" spans="1:11" x14ac:dyDescent="0.2">
      <c r="A43" s="446" t="s">
        <v>344</v>
      </c>
      <c r="B43" s="446"/>
      <c r="C43" s="446"/>
      <c r="D43" s="446"/>
      <c r="E43" s="446"/>
      <c r="F43" s="446"/>
      <c r="G43" s="446"/>
    </row>
    <row r="44" spans="1:11" x14ac:dyDescent="0.2">
      <c r="A44" s="252" t="s">
        <v>345</v>
      </c>
      <c r="B44" s="253" t="s">
        <v>346</v>
      </c>
      <c r="C44" s="253"/>
      <c r="D44" s="253"/>
      <c r="E44" s="253">
        <v>1</v>
      </c>
      <c r="F44" s="254">
        <v>2</v>
      </c>
      <c r="G44" s="253" t="s">
        <v>347</v>
      </c>
    </row>
    <row r="45" spans="1:11" x14ac:dyDescent="0.2">
      <c r="A45" s="248" t="s">
        <v>348</v>
      </c>
      <c r="B45" s="249" t="s">
        <v>346</v>
      </c>
      <c r="C45" s="249"/>
      <c r="D45" s="249"/>
      <c r="E45" s="249">
        <v>1</v>
      </c>
      <c r="F45" s="251">
        <v>1.3</v>
      </c>
      <c r="G45" s="249" t="s">
        <v>349</v>
      </c>
    </row>
    <row r="46" spans="1:11" x14ac:dyDescent="0.2">
      <c r="A46" s="252" t="s">
        <v>350</v>
      </c>
      <c r="B46" s="253" t="s">
        <v>346</v>
      </c>
      <c r="C46" s="253"/>
      <c r="D46" s="253"/>
      <c r="E46" s="253">
        <v>1</v>
      </c>
      <c r="F46" s="254">
        <v>2</v>
      </c>
      <c r="G46" s="253" t="s">
        <v>347</v>
      </c>
    </row>
    <row r="47" spans="1:11" x14ac:dyDescent="0.2">
      <c r="A47" s="248" t="s">
        <v>351</v>
      </c>
      <c r="B47" s="249" t="s">
        <v>352</v>
      </c>
      <c r="C47" s="249"/>
      <c r="D47" s="249"/>
      <c r="E47" s="249">
        <v>1</v>
      </c>
      <c r="F47" s="251">
        <v>1.4</v>
      </c>
      <c r="G47" s="249" t="s">
        <v>353</v>
      </c>
    </row>
    <row r="48" spans="1:11" x14ac:dyDescent="0.2">
      <c r="A48" s="252" t="s">
        <v>354</v>
      </c>
      <c r="B48" s="253" t="s">
        <v>352</v>
      </c>
      <c r="C48" s="253"/>
      <c r="D48" s="253"/>
      <c r="E48" s="253">
        <v>1</v>
      </c>
      <c r="F48" s="254">
        <v>1.4</v>
      </c>
      <c r="G48" s="253" t="s">
        <v>353</v>
      </c>
    </row>
    <row r="49" spans="1:7" x14ac:dyDescent="0.2">
      <c r="A49" s="248" t="s">
        <v>355</v>
      </c>
      <c r="B49" s="249" t="s">
        <v>352</v>
      </c>
      <c r="C49" s="249"/>
      <c r="D49" s="249"/>
      <c r="E49" s="249">
        <v>1</v>
      </c>
      <c r="F49" s="251">
        <v>1.4</v>
      </c>
      <c r="G49" s="249" t="s">
        <v>353</v>
      </c>
    </row>
    <row r="50" spans="1:7" x14ac:dyDescent="0.2">
      <c r="A50" s="252" t="s">
        <v>84</v>
      </c>
      <c r="B50" s="253" t="s">
        <v>352</v>
      </c>
      <c r="C50" s="253"/>
      <c r="D50" s="253"/>
      <c r="E50" s="253">
        <v>1</v>
      </c>
      <c r="F50" s="254">
        <v>1.2</v>
      </c>
      <c r="G50" s="253" t="s">
        <v>356</v>
      </c>
    </row>
    <row r="51" spans="1:7" x14ac:dyDescent="0.2">
      <c r="A51" s="446" t="s">
        <v>51</v>
      </c>
      <c r="B51" s="446"/>
      <c r="C51" s="446"/>
      <c r="D51" s="446"/>
      <c r="E51" s="446"/>
      <c r="F51" s="446"/>
      <c r="G51" s="446"/>
    </row>
    <row r="52" spans="1:7" x14ac:dyDescent="0.2">
      <c r="A52" s="252" t="s">
        <v>357</v>
      </c>
      <c r="B52" s="253">
        <v>0.65</v>
      </c>
      <c r="C52" s="253"/>
      <c r="D52" s="253"/>
      <c r="E52" s="253" t="s">
        <v>358</v>
      </c>
      <c r="F52" s="254">
        <v>1.9</v>
      </c>
      <c r="G52" s="253">
        <v>1.2350000000000001</v>
      </c>
    </row>
    <row r="53" spans="1:7" x14ac:dyDescent="0.2">
      <c r="A53" s="248" t="s">
        <v>359</v>
      </c>
      <c r="B53" s="249">
        <v>0.65</v>
      </c>
      <c r="C53" s="249"/>
      <c r="D53" s="249"/>
      <c r="E53" s="249" t="s">
        <v>358</v>
      </c>
      <c r="F53" s="251">
        <v>1.4</v>
      </c>
      <c r="G53" s="249">
        <v>0.91</v>
      </c>
    </row>
    <row r="54" spans="1:7" x14ac:dyDescent="0.2">
      <c r="A54" s="252" t="s">
        <v>44</v>
      </c>
      <c r="B54" s="253">
        <v>0.65</v>
      </c>
      <c r="C54" s="253"/>
      <c r="D54" s="253"/>
      <c r="E54" s="253" t="s">
        <v>358</v>
      </c>
      <c r="F54" s="254">
        <v>2.2999999999999998</v>
      </c>
      <c r="G54" s="253">
        <v>1.4950000000000001</v>
      </c>
    </row>
    <row r="55" spans="1:7" x14ac:dyDescent="0.2">
      <c r="A55" s="248" t="s">
        <v>360</v>
      </c>
      <c r="B55" s="249">
        <v>0.65</v>
      </c>
      <c r="C55" s="249"/>
      <c r="D55" s="249"/>
      <c r="E55" s="249" t="s">
        <v>358</v>
      </c>
      <c r="F55" s="251">
        <v>2.2999999999999998</v>
      </c>
      <c r="G55" s="249">
        <v>1.95</v>
      </c>
    </row>
    <row r="56" spans="1:7" x14ac:dyDescent="0.2">
      <c r="A56" s="252" t="s">
        <v>361</v>
      </c>
      <c r="B56" s="253">
        <v>0.65</v>
      </c>
      <c r="C56" s="253"/>
      <c r="D56" s="253"/>
      <c r="E56" s="253" t="s">
        <v>358</v>
      </c>
      <c r="F56" s="254">
        <v>2.2999999999999998</v>
      </c>
      <c r="G56" s="253">
        <v>1.43</v>
      </c>
    </row>
    <row r="57" spans="1:7" x14ac:dyDescent="0.2">
      <c r="A57" s="248" t="s">
        <v>362</v>
      </c>
      <c r="B57" s="249">
        <v>0.65</v>
      </c>
      <c r="C57" s="249"/>
      <c r="D57" s="249"/>
      <c r="E57" s="249" t="s">
        <v>358</v>
      </c>
      <c r="F57" s="251">
        <v>2.2999999999999998</v>
      </c>
      <c r="G57" s="249">
        <v>1.625</v>
      </c>
    </row>
    <row r="58" spans="1:7" x14ac:dyDescent="0.2">
      <c r="A58" s="250" t="s">
        <v>363</v>
      </c>
      <c r="B58" s="253">
        <v>2.2999999999999998</v>
      </c>
      <c r="C58" s="253"/>
      <c r="D58" s="253"/>
      <c r="E58" s="253">
        <v>2.9</v>
      </c>
      <c r="F58" s="254">
        <v>1.3</v>
      </c>
      <c r="G58" s="253">
        <v>2.99</v>
      </c>
    </row>
    <row r="59" spans="1:7" x14ac:dyDescent="0.2">
      <c r="A59" s="446" t="s">
        <v>364</v>
      </c>
      <c r="B59" s="446"/>
      <c r="C59" s="446"/>
      <c r="D59" s="446"/>
      <c r="E59" s="446"/>
      <c r="F59" s="446"/>
      <c r="G59" s="446"/>
    </row>
    <row r="60" spans="1:7" x14ac:dyDescent="0.2">
      <c r="A60" s="252" t="s">
        <v>365</v>
      </c>
      <c r="B60" s="253">
        <v>0.3</v>
      </c>
      <c r="C60" s="253"/>
      <c r="D60" s="253"/>
      <c r="E60" s="253" t="s">
        <v>366</v>
      </c>
      <c r="F60" s="254">
        <v>1.2</v>
      </c>
      <c r="G60" s="253">
        <v>0.36</v>
      </c>
    </row>
    <row r="61" spans="1:7" x14ac:dyDescent="0.2">
      <c r="A61" s="248" t="s">
        <v>367</v>
      </c>
      <c r="B61" s="249">
        <v>0.3</v>
      </c>
      <c r="C61" s="249"/>
      <c r="D61" s="249"/>
      <c r="E61" s="249" t="s">
        <v>366</v>
      </c>
      <c r="F61" s="251">
        <v>0.56000000000000005</v>
      </c>
      <c r="G61" s="249">
        <v>0.16800000000000001</v>
      </c>
    </row>
    <row r="62" spans="1:7" x14ac:dyDescent="0.2">
      <c r="A62" s="252" t="s">
        <v>73</v>
      </c>
      <c r="B62" s="253">
        <v>0.3</v>
      </c>
      <c r="C62" s="253"/>
      <c r="D62" s="253"/>
      <c r="E62" s="253" t="s">
        <v>366</v>
      </c>
      <c r="F62" s="254">
        <v>2</v>
      </c>
      <c r="G62" s="253">
        <v>0.6</v>
      </c>
    </row>
    <row r="63" spans="1:7" x14ac:dyDescent="0.2">
      <c r="A63" s="248" t="s">
        <v>362</v>
      </c>
      <c r="B63" s="249">
        <v>0.3</v>
      </c>
      <c r="C63" s="249"/>
      <c r="D63" s="249"/>
      <c r="E63" s="249" t="s">
        <v>366</v>
      </c>
      <c r="F63" s="251">
        <v>1.4</v>
      </c>
      <c r="G63" s="249">
        <v>0.42</v>
      </c>
    </row>
    <row r="64" spans="1:7" x14ac:dyDescent="0.2">
      <c r="A64" s="454" t="s">
        <v>368</v>
      </c>
      <c r="B64" s="454"/>
      <c r="C64" s="454"/>
      <c r="D64" s="454"/>
      <c r="E64" s="454"/>
      <c r="F64" s="454"/>
      <c r="G64" s="454"/>
    </row>
    <row r="65" spans="1:7" x14ac:dyDescent="0.2">
      <c r="A65" s="454" t="s">
        <v>369</v>
      </c>
      <c r="B65" s="454"/>
      <c r="C65" s="454"/>
      <c r="D65" s="454"/>
      <c r="E65" s="454"/>
      <c r="F65" s="454"/>
      <c r="G65" s="454"/>
    </row>
    <row r="66" spans="1:7" x14ac:dyDescent="0.2">
      <c r="A66" s="455" t="s">
        <v>370</v>
      </c>
      <c r="B66" s="455"/>
      <c r="C66" s="455"/>
      <c r="D66" s="455"/>
      <c r="E66" s="455"/>
      <c r="F66" s="455"/>
      <c r="G66" s="455"/>
    </row>
    <row r="67" spans="1:7" x14ac:dyDescent="0.2">
      <c r="A67" s="454" t="s">
        <v>371</v>
      </c>
      <c r="B67" s="454"/>
      <c r="C67" s="454"/>
      <c r="D67" s="454"/>
      <c r="E67" s="454"/>
      <c r="F67" s="454"/>
      <c r="G67" s="454"/>
    </row>
    <row r="68" spans="1:7" ht="12.75" thickBot="1" x14ac:dyDescent="0.25">
      <c r="A68" s="453" t="s">
        <v>372</v>
      </c>
      <c r="B68" s="453"/>
      <c r="C68" s="453"/>
      <c r="D68" s="453"/>
      <c r="E68" s="453"/>
      <c r="F68" s="453"/>
      <c r="G68" s="453"/>
    </row>
    <row r="71" spans="1:7" ht="18.75" x14ac:dyDescent="0.3">
      <c r="A71" s="397" t="s">
        <v>162</v>
      </c>
      <c r="B71" s="398"/>
    </row>
    <row r="72" spans="1:7" x14ac:dyDescent="0.2">
      <c r="A72" s="226" t="s">
        <v>420</v>
      </c>
    </row>
    <row r="73" spans="1:7" x14ac:dyDescent="0.2">
      <c r="A73" t="s">
        <v>422</v>
      </c>
    </row>
    <row r="74" spans="1:7" ht="22.5" customHeight="1" x14ac:dyDescent="0.2">
      <c r="A74" s="226" t="s">
        <v>421</v>
      </c>
    </row>
  </sheetData>
  <mergeCells count="13">
    <mergeCell ref="A68:G68"/>
    <mergeCell ref="A51:G51"/>
    <mergeCell ref="A59:G59"/>
    <mergeCell ref="A64:G64"/>
    <mergeCell ref="A65:G65"/>
    <mergeCell ref="A66:G66"/>
    <mergeCell ref="A67:G67"/>
    <mergeCell ref="A43:G43"/>
    <mergeCell ref="A37:G37"/>
    <mergeCell ref="A38:A39"/>
    <mergeCell ref="B38:B39"/>
    <mergeCell ref="F38:F39"/>
    <mergeCell ref="A40:G40"/>
  </mergeCells>
  <hyperlinks>
    <hyperlink ref="A74" r:id="rId1" xr:uid="{EA6502C6-F522-49AF-88CE-D043E6415E2B}"/>
    <hyperlink ref="A72" r:id="rId2" xr:uid="{5B984590-1877-4F6B-98C1-B63263576B11}"/>
  </hyperlinks>
  <pageMargins left="0.7" right="0.7" top="0.75" bottom="0.75" header="0.3" footer="0.3"/>
  <pageSetup paperSize="9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F0282-925C-43A7-B75F-2E207EDA4703}">
  <dimension ref="A1:M84"/>
  <sheetViews>
    <sheetView workbookViewId="0">
      <selection activeCell="A82" sqref="A82"/>
    </sheetView>
  </sheetViews>
  <sheetFormatPr defaultRowHeight="12" x14ac:dyDescent="0.2"/>
  <cols>
    <col min="1" max="1" width="83.5703125" customWidth="1"/>
    <col min="2" max="2" width="20.140625" customWidth="1"/>
    <col min="3" max="4" width="12.28515625" customWidth="1"/>
    <col min="5" max="5" width="17.42578125" customWidth="1"/>
    <col min="6" max="6" width="14.7109375" customWidth="1"/>
    <col min="7" max="7" width="18" hidden="1" customWidth="1"/>
    <col min="8" max="9" width="14.5703125" customWidth="1"/>
    <col min="10" max="10" width="15.42578125" customWidth="1"/>
    <col min="11" max="11" width="18.42578125" customWidth="1"/>
    <col min="12" max="12" width="16.140625" customWidth="1"/>
    <col min="13" max="14" width="13.28515625" customWidth="1"/>
  </cols>
  <sheetData>
    <row r="1" spans="1:13" ht="14.25" x14ac:dyDescent="0.2">
      <c r="A1" s="74"/>
      <c r="B1" s="74"/>
      <c r="C1" s="74"/>
      <c r="D1" s="74"/>
      <c r="E1" s="74"/>
      <c r="F1" s="74"/>
      <c r="G1" s="74"/>
      <c r="H1" s="74"/>
      <c r="I1" s="74"/>
      <c r="J1" s="74"/>
    </row>
    <row r="2" spans="1:13" ht="18.75" thickBot="1" x14ac:dyDescent="0.3">
      <c r="B2" s="81"/>
      <c r="C2" s="81"/>
      <c r="D2" s="81"/>
      <c r="E2" s="74"/>
      <c r="F2" s="74"/>
      <c r="G2" s="74"/>
      <c r="H2" s="74"/>
      <c r="I2" s="74"/>
      <c r="J2" s="74"/>
    </row>
    <row r="3" spans="1:13" ht="15" thickBot="1" x14ac:dyDescent="0.25">
      <c r="A3" s="361"/>
      <c r="B3" s="362"/>
      <c r="C3" s="362"/>
      <c r="D3" s="362"/>
      <c r="E3" s="362">
        <v>1</v>
      </c>
      <c r="F3" s="362">
        <v>2</v>
      </c>
      <c r="G3" s="362">
        <v>3</v>
      </c>
      <c r="H3" s="362">
        <v>4</v>
      </c>
      <c r="I3" s="362"/>
      <c r="J3" s="363">
        <v>5</v>
      </c>
    </row>
    <row r="4" spans="1:13" ht="86.25" thickBot="1" x14ac:dyDescent="0.25">
      <c r="A4" s="192" t="s">
        <v>37</v>
      </c>
      <c r="B4" s="193" t="s">
        <v>190</v>
      </c>
      <c r="C4" s="193" t="s">
        <v>386</v>
      </c>
      <c r="D4" s="193" t="s">
        <v>94</v>
      </c>
      <c r="E4" s="193" t="s">
        <v>314</v>
      </c>
      <c r="F4" s="360" t="s">
        <v>326</v>
      </c>
      <c r="G4" s="194" t="s">
        <v>128</v>
      </c>
      <c r="H4" s="241" t="s">
        <v>315</v>
      </c>
      <c r="I4" s="193" t="s">
        <v>389</v>
      </c>
      <c r="J4" s="360" t="s">
        <v>318</v>
      </c>
      <c r="K4" s="233"/>
      <c r="L4" s="233"/>
    </row>
    <row r="5" spans="1:13" ht="75.75" thickBot="1" x14ac:dyDescent="0.35">
      <c r="A5" s="81" t="s">
        <v>51</v>
      </c>
      <c r="B5" s="197" t="s">
        <v>327</v>
      </c>
      <c r="C5" s="197" t="s">
        <v>327</v>
      </c>
      <c r="D5" s="197" t="s">
        <v>327</v>
      </c>
      <c r="E5" s="197" t="s">
        <v>132</v>
      </c>
      <c r="F5" s="246" t="s">
        <v>172</v>
      </c>
      <c r="G5" s="195" t="s">
        <v>133</v>
      </c>
      <c r="H5" s="399" t="s">
        <v>423</v>
      </c>
      <c r="I5" s="286" t="s">
        <v>172</v>
      </c>
      <c r="J5" s="287" t="s">
        <v>329</v>
      </c>
      <c r="K5" s="426"/>
      <c r="L5" s="426"/>
    </row>
    <row r="6" spans="1:13" ht="14.25" x14ac:dyDescent="0.2">
      <c r="A6" s="268" t="s">
        <v>71</v>
      </c>
      <c r="B6" s="269">
        <v>100</v>
      </c>
      <c r="C6" s="269">
        <v>0.55000000000000004</v>
      </c>
      <c r="D6" s="269">
        <v>6.6</v>
      </c>
      <c r="E6" s="269">
        <v>0.2</v>
      </c>
      <c r="F6" s="298">
        <f t="shared" ref="F6:F11" si="0">+H35</f>
        <v>13.020833333333334</v>
      </c>
      <c r="G6" s="282">
        <v>0.2</v>
      </c>
      <c r="H6" s="289">
        <v>0.5</v>
      </c>
      <c r="I6" s="296">
        <f t="shared" ref="I6:I11" si="1">+I35</f>
        <v>2.3952095808383236</v>
      </c>
      <c r="J6" s="289">
        <v>13.4</v>
      </c>
      <c r="L6" t="s">
        <v>134</v>
      </c>
    </row>
    <row r="7" spans="1:13" ht="14.25" x14ac:dyDescent="0.2">
      <c r="A7" s="266" t="s">
        <v>72</v>
      </c>
      <c r="B7" s="267">
        <v>100</v>
      </c>
      <c r="C7" s="267">
        <v>0.55000000000000004</v>
      </c>
      <c r="D7" s="267">
        <v>6.6</v>
      </c>
      <c r="E7" s="267">
        <v>0.2</v>
      </c>
      <c r="F7" s="299">
        <f t="shared" si="0"/>
        <v>17.1875</v>
      </c>
      <c r="G7" s="281">
        <v>0.2</v>
      </c>
      <c r="H7" s="290">
        <v>0.5</v>
      </c>
      <c r="I7" s="283">
        <f t="shared" si="1"/>
        <v>2.5157232704402515</v>
      </c>
      <c r="J7" s="288">
        <v>13.4</v>
      </c>
    </row>
    <row r="8" spans="1:13" ht="14.25" x14ac:dyDescent="0.2">
      <c r="A8" s="270" t="s">
        <v>44</v>
      </c>
      <c r="B8" s="271">
        <v>100</v>
      </c>
      <c r="C8" s="271">
        <v>0.56000000000000005</v>
      </c>
      <c r="D8" s="271">
        <v>6.1</v>
      </c>
      <c r="E8" s="267">
        <v>0.2</v>
      </c>
      <c r="F8" s="299">
        <f t="shared" si="0"/>
        <v>20.833333333333336</v>
      </c>
      <c r="G8" s="281">
        <v>0.2</v>
      </c>
      <c r="H8" s="288">
        <v>0.5</v>
      </c>
      <c r="I8" s="283">
        <f t="shared" si="1"/>
        <v>2.6315789473684212</v>
      </c>
      <c r="J8" s="288">
        <v>13.4</v>
      </c>
    </row>
    <row r="9" spans="1:13" ht="14.25" x14ac:dyDescent="0.2">
      <c r="A9" s="266" t="s">
        <v>319</v>
      </c>
      <c r="B9" s="267">
        <v>78</v>
      </c>
      <c r="C9" s="267" t="s">
        <v>410</v>
      </c>
      <c r="D9" s="376" t="s">
        <v>419</v>
      </c>
      <c r="E9" s="267">
        <v>0.2</v>
      </c>
      <c r="F9" s="299">
        <f>+H38</f>
        <v>27.083333333333336</v>
      </c>
      <c r="G9" s="267">
        <v>1</v>
      </c>
      <c r="H9" s="288">
        <v>0.5</v>
      </c>
      <c r="I9" s="295">
        <f t="shared" si="1"/>
        <v>28.571428571428577</v>
      </c>
      <c r="J9" s="290">
        <v>13.4</v>
      </c>
    </row>
    <row r="10" spans="1:13" ht="14.25" x14ac:dyDescent="0.2">
      <c r="A10" s="272" t="s">
        <v>161</v>
      </c>
      <c r="B10" s="273">
        <v>79</v>
      </c>
      <c r="C10" s="273" t="s">
        <v>411</v>
      </c>
      <c r="D10" s="273" t="s">
        <v>412</v>
      </c>
      <c r="E10" s="281">
        <v>0.37</v>
      </c>
      <c r="F10" s="299">
        <f t="shared" si="0"/>
        <v>20.3125</v>
      </c>
      <c r="G10" s="283">
        <v>4.5</v>
      </c>
      <c r="H10" s="290">
        <v>0.5</v>
      </c>
      <c r="I10" s="283">
        <f t="shared" si="1"/>
        <v>9.1503267973856222</v>
      </c>
      <c r="J10" s="290" t="s">
        <v>416</v>
      </c>
    </row>
    <row r="11" spans="1:13" ht="15" thickBot="1" x14ac:dyDescent="0.25">
      <c r="A11" s="274" t="s">
        <v>47</v>
      </c>
      <c r="B11" s="275">
        <v>0</v>
      </c>
      <c r="C11" s="275">
        <v>0.18</v>
      </c>
      <c r="D11" s="275">
        <v>33</v>
      </c>
      <c r="E11" s="275">
        <v>1</v>
      </c>
      <c r="F11" s="300">
        <f t="shared" si="0"/>
        <v>22.916666666666668</v>
      </c>
      <c r="G11" s="275">
        <v>1</v>
      </c>
      <c r="H11" s="291">
        <v>7</v>
      </c>
      <c r="I11" s="297">
        <f t="shared" si="1"/>
        <v>16.216216216216218</v>
      </c>
      <c r="J11" s="291">
        <v>11.4</v>
      </c>
      <c r="K11" s="212"/>
      <c r="L11" s="212"/>
      <c r="M11" s="212"/>
    </row>
    <row r="12" spans="1:13" ht="27" customHeight="1" thickBot="1" x14ac:dyDescent="0.25">
      <c r="A12" s="276" t="s">
        <v>328</v>
      </c>
      <c r="B12" s="277"/>
      <c r="C12" s="277"/>
      <c r="D12" s="277"/>
      <c r="E12" s="278"/>
      <c r="F12" s="279"/>
      <c r="G12" s="278"/>
      <c r="H12" s="278"/>
      <c r="I12" s="278"/>
      <c r="J12" s="292"/>
    </row>
    <row r="13" spans="1:13" ht="15.75" customHeight="1" x14ac:dyDescent="0.2">
      <c r="A13" s="315" t="s">
        <v>385</v>
      </c>
      <c r="B13" s="316"/>
      <c r="C13" s="316">
        <v>0.51</v>
      </c>
      <c r="D13" s="316">
        <v>4</v>
      </c>
      <c r="E13" s="316">
        <v>1</v>
      </c>
      <c r="F13" s="319">
        <f>+H42</f>
        <v>0</v>
      </c>
      <c r="G13" s="316"/>
      <c r="H13" s="316"/>
      <c r="I13" s="427">
        <f>+I42</f>
        <v>0</v>
      </c>
      <c r="J13" s="318">
        <v>1</v>
      </c>
    </row>
    <row r="14" spans="1:13" ht="14.25" x14ac:dyDescent="0.2">
      <c r="A14" s="270" t="s">
        <v>193</v>
      </c>
      <c r="B14" s="267">
        <v>87</v>
      </c>
      <c r="C14" s="267" t="s">
        <v>413</v>
      </c>
      <c r="D14" s="267" t="s">
        <v>409</v>
      </c>
      <c r="E14" s="267">
        <v>1</v>
      </c>
      <c r="F14" s="334">
        <f>+H43</f>
        <v>37.681159420289859</v>
      </c>
      <c r="G14" s="267">
        <v>1</v>
      </c>
      <c r="H14" s="267">
        <v>3</v>
      </c>
      <c r="I14" s="429">
        <f t="shared" ref="I14:I15" si="2">+I43</f>
        <v>2.3255813953488373</v>
      </c>
      <c r="J14" s="284" t="s">
        <v>416</v>
      </c>
    </row>
    <row r="15" spans="1:13" ht="15" thickBot="1" x14ac:dyDescent="0.25">
      <c r="A15" s="280" t="s">
        <v>192</v>
      </c>
      <c r="B15" s="275">
        <v>100</v>
      </c>
      <c r="C15" s="275">
        <v>0.4</v>
      </c>
      <c r="D15" s="275">
        <v>5</v>
      </c>
      <c r="E15" s="275">
        <v>0.2</v>
      </c>
      <c r="F15" s="335">
        <f>+H44</f>
        <v>29.710144927536234</v>
      </c>
      <c r="G15" s="317"/>
      <c r="H15" s="275">
        <v>0.6</v>
      </c>
      <c r="I15" s="428">
        <f t="shared" si="2"/>
        <v>7.2164948453608266</v>
      </c>
      <c r="J15" s="285">
        <v>13.4</v>
      </c>
    </row>
    <row r="16" spans="1:13" ht="19.5" thickBot="1" x14ac:dyDescent="0.35">
      <c r="A16" s="72" t="s">
        <v>160</v>
      </c>
      <c r="B16" s="72"/>
      <c r="C16" s="72"/>
      <c r="D16" s="72"/>
      <c r="E16" s="79"/>
      <c r="F16" s="76"/>
      <c r="G16" s="77"/>
      <c r="H16" s="78"/>
      <c r="I16" s="78"/>
      <c r="J16" s="77"/>
    </row>
    <row r="17" spans="1:10" ht="13.5" customHeight="1" x14ac:dyDescent="0.2">
      <c r="A17" s="150" t="s">
        <v>268</v>
      </c>
      <c r="B17" s="206"/>
      <c r="C17" s="206"/>
      <c r="D17" s="206"/>
      <c r="E17" s="206"/>
      <c r="F17" s="364">
        <v>1</v>
      </c>
      <c r="G17" s="364"/>
      <c r="H17" s="364"/>
      <c r="I17" s="364"/>
      <c r="J17" s="365">
        <v>1</v>
      </c>
    </row>
    <row r="18" spans="1:10" ht="13.5" customHeight="1" x14ac:dyDescent="0.2">
      <c r="A18" s="147" t="s">
        <v>140</v>
      </c>
      <c r="B18" s="209"/>
      <c r="C18" s="209"/>
      <c r="D18" s="209"/>
      <c r="E18" s="210"/>
      <c r="F18" s="366">
        <v>-0.88</v>
      </c>
      <c r="G18" s="367"/>
      <c r="H18" s="367"/>
      <c r="I18" s="367"/>
      <c r="J18" s="368">
        <v>0</v>
      </c>
    </row>
    <row r="19" spans="1:10" ht="14.25" x14ac:dyDescent="0.2">
      <c r="A19" s="147" t="s">
        <v>142</v>
      </c>
      <c r="B19" s="209"/>
      <c r="C19" s="209"/>
      <c r="D19" s="209"/>
      <c r="E19" s="211"/>
      <c r="F19" s="366">
        <v>-0.08</v>
      </c>
      <c r="G19" s="367"/>
      <c r="H19" s="367"/>
      <c r="I19" s="367"/>
      <c r="J19" s="369">
        <v>-7.4999999999999997E-2</v>
      </c>
    </row>
    <row r="20" spans="1:10" ht="14.25" x14ac:dyDescent="0.2">
      <c r="A20" s="216" t="s">
        <v>143</v>
      </c>
      <c r="B20" s="217"/>
      <c r="C20" s="217"/>
      <c r="D20" s="217"/>
      <c r="E20" s="137"/>
      <c r="F20" s="174">
        <v>-0.89</v>
      </c>
      <c r="G20" s="100"/>
      <c r="H20" s="100"/>
      <c r="I20" s="100"/>
      <c r="J20" s="175">
        <v>-0.44</v>
      </c>
    </row>
    <row r="21" spans="1:10" ht="14.25" x14ac:dyDescent="0.2">
      <c r="A21" s="216" t="s">
        <v>144</v>
      </c>
      <c r="B21" s="217"/>
      <c r="C21" s="217"/>
      <c r="D21" s="217"/>
      <c r="E21" s="137"/>
      <c r="F21" s="174">
        <v>-0.61</v>
      </c>
      <c r="G21" s="100"/>
      <c r="H21" s="100"/>
      <c r="I21" s="100"/>
      <c r="J21" s="175">
        <v>-0.44</v>
      </c>
    </row>
    <row r="22" spans="1:10" ht="14.25" x14ac:dyDescent="0.2">
      <c r="A22" s="147" t="s">
        <v>145</v>
      </c>
      <c r="B22" s="209"/>
      <c r="C22" s="209"/>
      <c r="D22" s="209"/>
      <c r="E22" s="210"/>
      <c r="F22" s="367"/>
      <c r="G22" s="367"/>
      <c r="H22" s="367"/>
      <c r="I22" s="367"/>
      <c r="J22" s="368">
        <v>-0.39</v>
      </c>
    </row>
    <row r="23" spans="1:10" ht="14.25" x14ac:dyDescent="0.2">
      <c r="A23" s="147" t="s">
        <v>146</v>
      </c>
      <c r="B23" s="209"/>
      <c r="C23" s="209"/>
      <c r="D23" s="209"/>
      <c r="E23" s="210"/>
      <c r="F23" s="366">
        <v>-0.64</v>
      </c>
      <c r="G23" s="367"/>
      <c r="H23" s="367"/>
      <c r="I23" s="367"/>
      <c r="J23" s="368">
        <v>-0.6</v>
      </c>
    </row>
    <row r="24" spans="1:10" ht="14.25" x14ac:dyDescent="0.2">
      <c r="A24" s="147" t="s">
        <v>147</v>
      </c>
      <c r="B24" s="209"/>
      <c r="C24" s="209"/>
      <c r="D24" s="209"/>
      <c r="E24" s="210"/>
      <c r="F24" s="367"/>
      <c r="G24" s="367"/>
      <c r="H24" s="367"/>
      <c r="I24" s="367"/>
      <c r="J24" s="368">
        <v>-0.22600000000000001</v>
      </c>
    </row>
    <row r="25" spans="1:10" ht="14.25" x14ac:dyDescent="0.2">
      <c r="A25" s="147" t="s">
        <v>148</v>
      </c>
      <c r="B25" s="209"/>
      <c r="C25" s="209"/>
      <c r="D25" s="209"/>
      <c r="E25" s="213"/>
      <c r="F25" s="370"/>
      <c r="G25" s="370"/>
      <c r="H25" s="367"/>
      <c r="I25" s="367"/>
      <c r="J25" s="371">
        <f>-69%</f>
        <v>-0.69</v>
      </c>
    </row>
    <row r="26" spans="1:10" ht="14.25" x14ac:dyDescent="0.2">
      <c r="A26" s="147" t="s">
        <v>149</v>
      </c>
      <c r="B26" s="209"/>
      <c r="C26" s="209"/>
      <c r="D26" s="209"/>
      <c r="E26" s="210"/>
      <c r="F26" s="372"/>
      <c r="G26" s="367"/>
      <c r="H26" s="367"/>
      <c r="I26" s="367"/>
      <c r="J26" s="368">
        <f>-69%</f>
        <v>-0.69</v>
      </c>
    </row>
    <row r="27" spans="1:10" ht="14.25" x14ac:dyDescent="0.2">
      <c r="A27" s="147" t="s">
        <v>180</v>
      </c>
      <c r="B27" s="209"/>
      <c r="C27" s="209"/>
      <c r="D27" s="209"/>
      <c r="E27" s="207"/>
      <c r="F27" s="373"/>
      <c r="G27" s="373"/>
      <c r="H27" s="373"/>
      <c r="I27" s="373"/>
      <c r="J27" s="368">
        <v>-0.44</v>
      </c>
    </row>
    <row r="28" spans="1:10" ht="14.25" x14ac:dyDescent="0.2">
      <c r="A28" s="147" t="s">
        <v>307</v>
      </c>
      <c r="B28" s="209"/>
      <c r="C28" s="209"/>
      <c r="D28" s="209"/>
      <c r="E28" s="207"/>
      <c r="F28" s="373"/>
      <c r="G28" s="373"/>
      <c r="H28" s="373"/>
      <c r="I28" s="373"/>
      <c r="J28" s="368">
        <v>-0.44</v>
      </c>
    </row>
    <row r="29" spans="1:10" ht="14.25" x14ac:dyDescent="0.2">
      <c r="A29" s="147" t="s">
        <v>308</v>
      </c>
      <c r="B29" s="209"/>
      <c r="C29" s="209"/>
      <c r="D29" s="209"/>
      <c r="E29" s="207"/>
      <c r="F29" s="373"/>
      <c r="G29" s="373"/>
      <c r="H29" s="373"/>
      <c r="I29" s="373"/>
      <c r="J29" s="368">
        <v>-0.44</v>
      </c>
    </row>
    <row r="30" spans="1:10" ht="15" thickBot="1" x14ac:dyDescent="0.25">
      <c r="A30" s="148" t="s">
        <v>181</v>
      </c>
      <c r="B30" s="214"/>
      <c r="C30" s="214"/>
      <c r="D30" s="214"/>
      <c r="E30" s="208"/>
      <c r="F30" s="374"/>
      <c r="G30" s="374"/>
      <c r="H30" s="374"/>
      <c r="I30" s="374"/>
      <c r="J30" s="375">
        <v>-0.44</v>
      </c>
    </row>
    <row r="31" spans="1:10" ht="18" x14ac:dyDescent="0.25">
      <c r="B31" s="80"/>
      <c r="C31" s="80"/>
      <c r="D31" s="80"/>
    </row>
    <row r="32" spans="1:10" ht="18.75" x14ac:dyDescent="0.3">
      <c r="A32" s="72"/>
      <c r="B32" s="72"/>
      <c r="C32" s="72"/>
      <c r="D32" s="72"/>
      <c r="E32" s="79"/>
      <c r="F32" s="76"/>
      <c r="G32" s="77"/>
      <c r="H32" s="78"/>
      <c r="I32" s="78"/>
      <c r="J32" s="77"/>
    </row>
    <row r="33" spans="1:11" ht="12.75" thickBot="1" x14ac:dyDescent="0.25"/>
    <row r="34" spans="1:11" ht="48.75" x14ac:dyDescent="0.25">
      <c r="A34" s="258" t="s">
        <v>188</v>
      </c>
      <c r="B34" s="259" t="s">
        <v>174</v>
      </c>
      <c r="C34" s="259" t="s">
        <v>176</v>
      </c>
      <c r="D34" s="301" t="s">
        <v>310</v>
      </c>
      <c r="E34" s="259" t="s">
        <v>311</v>
      </c>
      <c r="F34" s="259" t="s">
        <v>379</v>
      </c>
      <c r="H34" s="259" t="s">
        <v>377</v>
      </c>
      <c r="I34" s="259" t="s">
        <v>378</v>
      </c>
      <c r="J34" s="259" t="s">
        <v>383</v>
      </c>
      <c r="K34" s="259" t="s">
        <v>384</v>
      </c>
    </row>
    <row r="35" spans="1:11" ht="14.25" x14ac:dyDescent="0.2">
      <c r="A35" s="136" t="s">
        <v>71</v>
      </c>
      <c r="B35" s="228">
        <v>0.65</v>
      </c>
      <c r="C35" s="228">
        <v>3.76</v>
      </c>
      <c r="D35" s="302">
        <v>1.4</v>
      </c>
      <c r="E35" s="260">
        <v>1.92</v>
      </c>
      <c r="F35" s="260">
        <f t="shared" ref="F35:F40" si="3">+E35*(100-H35)/100</f>
        <v>1.67</v>
      </c>
      <c r="H35" s="261">
        <f t="shared" ref="H35:I40" si="4">+J35*100/E35</f>
        <v>13.020833333333334</v>
      </c>
      <c r="I35" s="294">
        <f t="shared" si="4"/>
        <v>2.3952095808383236</v>
      </c>
      <c r="J35" s="228">
        <v>0.25</v>
      </c>
      <c r="K35" s="228">
        <v>0.04</v>
      </c>
    </row>
    <row r="36" spans="1:11" ht="14.25" x14ac:dyDescent="0.2">
      <c r="A36" s="136" t="s">
        <v>72</v>
      </c>
      <c r="B36" s="228">
        <v>0.65</v>
      </c>
      <c r="C36" s="228">
        <v>3.76</v>
      </c>
      <c r="D36" s="302">
        <v>1.9</v>
      </c>
      <c r="E36" s="260">
        <v>1.92</v>
      </c>
      <c r="F36" s="260">
        <f t="shared" si="3"/>
        <v>1.59</v>
      </c>
      <c r="H36" s="261">
        <f t="shared" si="4"/>
        <v>17.1875</v>
      </c>
      <c r="I36" s="294">
        <f t="shared" si="4"/>
        <v>2.5157232704402515</v>
      </c>
      <c r="J36" s="228">
        <v>0.33</v>
      </c>
      <c r="K36" s="228">
        <v>0.04</v>
      </c>
    </row>
    <row r="37" spans="1:11" ht="15" x14ac:dyDescent="0.25">
      <c r="A37" s="135" t="s">
        <v>44</v>
      </c>
      <c r="B37" s="228">
        <v>0.65</v>
      </c>
      <c r="C37" s="228">
        <v>3.76</v>
      </c>
      <c r="D37" s="302">
        <v>2.2999999999999998</v>
      </c>
      <c r="E37" s="260">
        <v>1.92</v>
      </c>
      <c r="F37" s="260">
        <f t="shared" si="3"/>
        <v>1.5199999999999998</v>
      </c>
      <c r="H37" s="261">
        <f t="shared" si="4"/>
        <v>20.833333333333336</v>
      </c>
      <c r="I37" s="294">
        <f t="shared" si="4"/>
        <v>2.6315789473684212</v>
      </c>
      <c r="J37" s="228">
        <v>0.4</v>
      </c>
      <c r="K37" s="228">
        <v>0.04</v>
      </c>
    </row>
    <row r="38" spans="1:11" ht="14.25" x14ac:dyDescent="0.2">
      <c r="A38" s="136" t="s">
        <v>168</v>
      </c>
      <c r="B38" s="228">
        <v>0.65</v>
      </c>
      <c r="C38" s="228">
        <v>3.76</v>
      </c>
      <c r="D38" s="302">
        <v>2.2999999999999998</v>
      </c>
      <c r="E38" s="260">
        <v>1.92</v>
      </c>
      <c r="F38" s="260">
        <f t="shared" si="3"/>
        <v>1.3999999999999997</v>
      </c>
      <c r="H38" s="261">
        <f t="shared" si="4"/>
        <v>27.083333333333336</v>
      </c>
      <c r="I38" s="294">
        <f t="shared" si="4"/>
        <v>28.571428571428577</v>
      </c>
      <c r="J38" s="228">
        <v>0.52</v>
      </c>
      <c r="K38" s="228">
        <v>0.4</v>
      </c>
    </row>
    <row r="39" spans="1:11" ht="14.25" x14ac:dyDescent="0.2">
      <c r="A39" s="262" t="s">
        <v>161</v>
      </c>
      <c r="B39" s="228">
        <v>0.65</v>
      </c>
      <c r="C39" s="228">
        <v>3.76</v>
      </c>
      <c r="D39" s="302">
        <v>2.2999999999999998</v>
      </c>
      <c r="E39" s="260">
        <v>1.92</v>
      </c>
      <c r="F39" s="260">
        <f t="shared" si="3"/>
        <v>1.53</v>
      </c>
      <c r="H39" s="261">
        <f t="shared" si="4"/>
        <v>20.3125</v>
      </c>
      <c r="I39" s="294">
        <f t="shared" si="4"/>
        <v>9.1503267973856222</v>
      </c>
      <c r="J39" s="293">
        <v>0.39</v>
      </c>
      <c r="K39" s="293">
        <v>0.14000000000000001</v>
      </c>
    </row>
    <row r="40" spans="1:11" ht="14.25" x14ac:dyDescent="0.2">
      <c r="A40" s="136" t="s">
        <v>309</v>
      </c>
      <c r="B40" s="228">
        <v>0.65</v>
      </c>
      <c r="C40" s="228">
        <v>3.76</v>
      </c>
      <c r="D40" s="302">
        <v>2.2999999999999998</v>
      </c>
      <c r="E40" s="260">
        <v>1.92</v>
      </c>
      <c r="F40" s="260">
        <f t="shared" si="3"/>
        <v>1.4799999999999998</v>
      </c>
      <c r="H40" s="261">
        <f t="shared" si="4"/>
        <v>22.916666666666668</v>
      </c>
      <c r="I40" s="261">
        <f t="shared" si="4"/>
        <v>16.216216216216218</v>
      </c>
      <c r="J40" s="293">
        <v>0.44</v>
      </c>
      <c r="K40" s="293">
        <v>0.24</v>
      </c>
    </row>
    <row r="41" spans="1:11" ht="15.75" thickBot="1" x14ac:dyDescent="0.25">
      <c r="A41" s="306" t="s">
        <v>399</v>
      </c>
      <c r="B41" s="228"/>
      <c r="C41" s="228"/>
      <c r="D41" s="302"/>
      <c r="E41" s="260"/>
      <c r="F41" s="260"/>
      <c r="H41" s="261"/>
      <c r="I41" s="228"/>
      <c r="J41" s="228"/>
      <c r="K41" s="228"/>
    </row>
    <row r="42" spans="1:11" ht="14.25" x14ac:dyDescent="0.2">
      <c r="A42" s="307" t="s">
        <v>381</v>
      </c>
      <c r="B42" s="114">
        <v>2.2999999999999998</v>
      </c>
      <c r="C42" s="114">
        <v>2.9</v>
      </c>
      <c r="D42" s="308">
        <v>1.3</v>
      </c>
      <c r="E42" s="309">
        <v>2.76</v>
      </c>
      <c r="F42" s="309">
        <v>0</v>
      </c>
      <c r="H42" s="310">
        <f>+J42*100/E42</f>
        <v>0</v>
      </c>
      <c r="I42" s="114">
        <v>0</v>
      </c>
      <c r="J42" s="311"/>
      <c r="K42" s="312">
        <v>0</v>
      </c>
    </row>
    <row r="43" spans="1:11" ht="14.25" x14ac:dyDescent="0.2">
      <c r="A43" s="136" t="s">
        <v>380</v>
      </c>
      <c r="B43" s="228">
        <v>2.2999999999999998</v>
      </c>
      <c r="C43" s="228">
        <v>2.9</v>
      </c>
      <c r="D43" s="302">
        <v>1.3</v>
      </c>
      <c r="E43" s="260">
        <v>2.76</v>
      </c>
      <c r="F43" s="260">
        <f>+E43*(100-H43)/100</f>
        <v>1.7199999999999998</v>
      </c>
      <c r="H43" s="261">
        <f>+J43*100/E43</f>
        <v>37.681159420289859</v>
      </c>
      <c r="I43" s="294">
        <f>+K43*100/F43</f>
        <v>2.3255813953488373</v>
      </c>
      <c r="J43" s="228">
        <v>1.04</v>
      </c>
      <c r="K43" s="227">
        <v>0.04</v>
      </c>
    </row>
    <row r="44" spans="1:11" ht="15" thickBot="1" x14ac:dyDescent="0.25">
      <c r="A44" s="141" t="s">
        <v>382</v>
      </c>
      <c r="B44" s="115">
        <v>2.2999999999999998</v>
      </c>
      <c r="C44" s="115">
        <v>2.9</v>
      </c>
      <c r="D44" s="303">
        <v>1.3</v>
      </c>
      <c r="E44" s="263">
        <v>2.76</v>
      </c>
      <c r="F44" s="263">
        <f>+E44*(100-H44)/100</f>
        <v>1.9399999999999997</v>
      </c>
      <c r="H44" s="264">
        <f>+J44*100/E44</f>
        <v>29.710144927536234</v>
      </c>
      <c r="I44" s="313">
        <f>+K44*100/F44</f>
        <v>7.2164948453608266</v>
      </c>
      <c r="J44" s="115">
        <v>0.82</v>
      </c>
      <c r="K44" s="265">
        <v>0.14000000000000001</v>
      </c>
    </row>
    <row r="45" spans="1:11" ht="14.25" x14ac:dyDescent="0.2">
      <c r="A45" s="75" t="s">
        <v>173</v>
      </c>
      <c r="D45" s="304"/>
    </row>
    <row r="46" spans="1:11" x14ac:dyDescent="0.2">
      <c r="D46" s="304"/>
    </row>
    <row r="47" spans="1:11" ht="21.75" customHeight="1" thickBot="1" x14ac:dyDescent="0.25">
      <c r="A47" s="447" t="s">
        <v>331</v>
      </c>
      <c r="B47" s="447"/>
      <c r="C47" s="447"/>
      <c r="D47" s="447"/>
      <c r="E47" s="447"/>
      <c r="F47" s="447"/>
      <c r="G47" s="447"/>
    </row>
    <row r="48" spans="1:11" x14ac:dyDescent="0.2">
      <c r="A48" s="448" t="s">
        <v>332</v>
      </c>
      <c r="B48" s="450" t="s">
        <v>333</v>
      </c>
      <c r="C48" s="314"/>
      <c r="D48" s="314"/>
      <c r="E48" s="424" t="s">
        <v>334</v>
      </c>
      <c r="F48" s="450" t="s">
        <v>336</v>
      </c>
      <c r="G48" s="424" t="s">
        <v>337</v>
      </c>
    </row>
    <row r="49" spans="1:7" x14ac:dyDescent="0.2">
      <c r="A49" s="449"/>
      <c r="B49" s="451"/>
      <c r="C49" s="424"/>
      <c r="D49" s="424"/>
      <c r="E49" s="424" t="s">
        <v>335</v>
      </c>
      <c r="F49" s="451"/>
      <c r="G49" s="424" t="s">
        <v>338</v>
      </c>
    </row>
    <row r="50" spans="1:7" x14ac:dyDescent="0.2">
      <c r="A50" s="452" t="s">
        <v>339</v>
      </c>
      <c r="B50" s="452"/>
      <c r="C50" s="452"/>
      <c r="D50" s="452"/>
      <c r="E50" s="452"/>
      <c r="F50" s="452"/>
      <c r="G50" s="452"/>
    </row>
    <row r="51" spans="1:7" x14ac:dyDescent="0.2">
      <c r="A51" s="423" t="s">
        <v>340</v>
      </c>
      <c r="B51" s="424" t="s">
        <v>341</v>
      </c>
      <c r="C51" s="424"/>
      <c r="D51" s="424"/>
      <c r="E51" s="424">
        <v>1</v>
      </c>
      <c r="F51" s="251">
        <v>0.66</v>
      </c>
      <c r="G51" s="424" t="s">
        <v>342</v>
      </c>
    </row>
    <row r="52" spans="1:7" x14ac:dyDescent="0.2">
      <c r="A52" s="252" t="s">
        <v>86</v>
      </c>
      <c r="B52" s="253" t="s">
        <v>341</v>
      </c>
      <c r="C52" s="253"/>
      <c r="D52" s="253"/>
      <c r="E52" s="253">
        <v>1</v>
      </c>
      <c r="F52" s="254">
        <v>1.3</v>
      </c>
      <c r="G52" s="253" t="s">
        <v>343</v>
      </c>
    </row>
    <row r="53" spans="1:7" x14ac:dyDescent="0.2">
      <c r="A53" s="446" t="s">
        <v>344</v>
      </c>
      <c r="B53" s="446"/>
      <c r="C53" s="446"/>
      <c r="D53" s="446"/>
      <c r="E53" s="446"/>
      <c r="F53" s="446"/>
      <c r="G53" s="446"/>
    </row>
    <row r="54" spans="1:7" x14ac:dyDescent="0.2">
      <c r="A54" s="252" t="s">
        <v>345</v>
      </c>
      <c r="B54" s="253" t="s">
        <v>346</v>
      </c>
      <c r="C54" s="253"/>
      <c r="D54" s="253"/>
      <c r="E54" s="253">
        <v>1</v>
      </c>
      <c r="F54" s="254">
        <v>2</v>
      </c>
      <c r="G54" s="253" t="s">
        <v>347</v>
      </c>
    </row>
    <row r="55" spans="1:7" x14ac:dyDescent="0.2">
      <c r="A55" s="423" t="s">
        <v>348</v>
      </c>
      <c r="B55" s="424" t="s">
        <v>346</v>
      </c>
      <c r="C55" s="424"/>
      <c r="D55" s="424"/>
      <c r="E55" s="424">
        <v>1</v>
      </c>
      <c r="F55" s="251">
        <v>1.3</v>
      </c>
      <c r="G55" s="424" t="s">
        <v>349</v>
      </c>
    </row>
    <row r="56" spans="1:7" x14ac:dyDescent="0.2">
      <c r="A56" s="252" t="s">
        <v>350</v>
      </c>
      <c r="B56" s="253" t="s">
        <v>346</v>
      </c>
      <c r="C56" s="253"/>
      <c r="D56" s="253"/>
      <c r="E56" s="253">
        <v>1</v>
      </c>
      <c r="F56" s="254">
        <v>2</v>
      </c>
      <c r="G56" s="253" t="s">
        <v>347</v>
      </c>
    </row>
    <row r="57" spans="1:7" x14ac:dyDescent="0.2">
      <c r="A57" s="423" t="s">
        <v>351</v>
      </c>
      <c r="B57" s="424" t="s">
        <v>352</v>
      </c>
      <c r="C57" s="424"/>
      <c r="D57" s="424"/>
      <c r="E57" s="424">
        <v>1</v>
      </c>
      <c r="F57" s="251">
        <v>1.4</v>
      </c>
      <c r="G57" s="424" t="s">
        <v>353</v>
      </c>
    </row>
    <row r="58" spans="1:7" x14ac:dyDescent="0.2">
      <c r="A58" s="252" t="s">
        <v>354</v>
      </c>
      <c r="B58" s="253" t="s">
        <v>352</v>
      </c>
      <c r="C58" s="253"/>
      <c r="D58" s="253"/>
      <c r="E58" s="253">
        <v>1</v>
      </c>
      <c r="F58" s="254">
        <v>1.4</v>
      </c>
      <c r="G58" s="253" t="s">
        <v>353</v>
      </c>
    </row>
    <row r="59" spans="1:7" x14ac:dyDescent="0.2">
      <c r="A59" s="423" t="s">
        <v>355</v>
      </c>
      <c r="B59" s="424" t="s">
        <v>352</v>
      </c>
      <c r="C59" s="424"/>
      <c r="D59" s="424"/>
      <c r="E59" s="424">
        <v>1</v>
      </c>
      <c r="F59" s="251">
        <v>1.4</v>
      </c>
      <c r="G59" s="424" t="s">
        <v>353</v>
      </c>
    </row>
    <row r="60" spans="1:7" x14ac:dyDescent="0.2">
      <c r="A60" s="252" t="s">
        <v>84</v>
      </c>
      <c r="B60" s="253" t="s">
        <v>352</v>
      </c>
      <c r="C60" s="253"/>
      <c r="D60" s="253"/>
      <c r="E60" s="253">
        <v>1</v>
      </c>
      <c r="F60" s="254">
        <v>1.2</v>
      </c>
      <c r="G60" s="253" t="s">
        <v>356</v>
      </c>
    </row>
    <row r="61" spans="1:7" x14ac:dyDescent="0.2">
      <c r="A61" s="446" t="s">
        <v>51</v>
      </c>
      <c r="B61" s="446"/>
      <c r="C61" s="446"/>
      <c r="D61" s="446"/>
      <c r="E61" s="446"/>
      <c r="F61" s="446"/>
      <c r="G61" s="446"/>
    </row>
    <row r="62" spans="1:7" x14ac:dyDescent="0.2">
      <c r="A62" s="252" t="s">
        <v>357</v>
      </c>
      <c r="B62" s="253">
        <v>0.65</v>
      </c>
      <c r="C62" s="253"/>
      <c r="D62" s="253"/>
      <c r="E62" s="253" t="s">
        <v>358</v>
      </c>
      <c r="F62" s="254">
        <v>1.9</v>
      </c>
      <c r="G62" s="253">
        <v>1.2350000000000001</v>
      </c>
    </row>
    <row r="63" spans="1:7" x14ac:dyDescent="0.2">
      <c r="A63" s="423" t="s">
        <v>359</v>
      </c>
      <c r="B63" s="424">
        <v>0.65</v>
      </c>
      <c r="C63" s="424"/>
      <c r="D63" s="424"/>
      <c r="E63" s="424" t="s">
        <v>358</v>
      </c>
      <c r="F63" s="251">
        <v>1.4</v>
      </c>
      <c r="G63" s="424">
        <v>0.91</v>
      </c>
    </row>
    <row r="64" spans="1:7" x14ac:dyDescent="0.2">
      <c r="A64" s="252" t="s">
        <v>44</v>
      </c>
      <c r="B64" s="253">
        <v>0.65</v>
      </c>
      <c r="C64" s="253"/>
      <c r="D64" s="253"/>
      <c r="E64" s="253" t="s">
        <v>358</v>
      </c>
      <c r="F64" s="254">
        <v>2.2999999999999998</v>
      </c>
      <c r="G64" s="253">
        <v>1.4950000000000001</v>
      </c>
    </row>
    <row r="65" spans="1:7" x14ac:dyDescent="0.2">
      <c r="A65" s="423" t="s">
        <v>360</v>
      </c>
      <c r="B65" s="424">
        <v>0.65</v>
      </c>
      <c r="C65" s="424"/>
      <c r="D65" s="424"/>
      <c r="E65" s="424" t="s">
        <v>358</v>
      </c>
      <c r="F65" s="251">
        <v>2.2999999999999998</v>
      </c>
      <c r="G65" s="424">
        <v>1.95</v>
      </c>
    </row>
    <row r="66" spans="1:7" x14ac:dyDescent="0.2">
      <c r="A66" s="252" t="s">
        <v>361</v>
      </c>
      <c r="B66" s="253">
        <v>0.65</v>
      </c>
      <c r="C66" s="253"/>
      <c r="D66" s="253"/>
      <c r="E66" s="253" t="s">
        <v>358</v>
      </c>
      <c r="F66" s="254">
        <v>2.2999999999999998</v>
      </c>
      <c r="G66" s="253">
        <v>1.43</v>
      </c>
    </row>
    <row r="67" spans="1:7" x14ac:dyDescent="0.2">
      <c r="A67" s="423" t="s">
        <v>362</v>
      </c>
      <c r="B67" s="424">
        <v>0.65</v>
      </c>
      <c r="C67" s="424"/>
      <c r="D67" s="424"/>
      <c r="E67" s="424" t="s">
        <v>358</v>
      </c>
      <c r="F67" s="251">
        <v>2.2999999999999998</v>
      </c>
      <c r="G67" s="424">
        <v>1.625</v>
      </c>
    </row>
    <row r="68" spans="1:7" x14ac:dyDescent="0.2">
      <c r="A68" s="425" t="s">
        <v>363</v>
      </c>
      <c r="B68" s="253">
        <v>2.2999999999999998</v>
      </c>
      <c r="C68" s="253"/>
      <c r="D68" s="253"/>
      <c r="E68" s="253">
        <v>2.9</v>
      </c>
      <c r="F68" s="254">
        <v>1.3</v>
      </c>
      <c r="G68" s="253">
        <v>2.99</v>
      </c>
    </row>
    <row r="69" spans="1:7" x14ac:dyDescent="0.2">
      <c r="A69" s="446" t="s">
        <v>364</v>
      </c>
      <c r="B69" s="446"/>
      <c r="C69" s="446"/>
      <c r="D69" s="446"/>
      <c r="E69" s="446"/>
      <c r="F69" s="446"/>
      <c r="G69" s="446"/>
    </row>
    <row r="70" spans="1:7" x14ac:dyDescent="0.2">
      <c r="A70" s="252" t="s">
        <v>365</v>
      </c>
      <c r="B70" s="253">
        <v>0.3</v>
      </c>
      <c r="C70" s="253"/>
      <c r="D70" s="253"/>
      <c r="E70" s="253" t="s">
        <v>366</v>
      </c>
      <c r="F70" s="254">
        <v>1.2</v>
      </c>
      <c r="G70" s="253">
        <v>0.36</v>
      </c>
    </row>
    <row r="71" spans="1:7" x14ac:dyDescent="0.2">
      <c r="A71" s="423" t="s">
        <v>367</v>
      </c>
      <c r="B71" s="424">
        <v>0.3</v>
      </c>
      <c r="C71" s="424"/>
      <c r="D71" s="424"/>
      <c r="E71" s="424" t="s">
        <v>366</v>
      </c>
      <c r="F71" s="251">
        <v>0.56000000000000005</v>
      </c>
      <c r="G71" s="424">
        <v>0.16800000000000001</v>
      </c>
    </row>
    <row r="72" spans="1:7" x14ac:dyDescent="0.2">
      <c r="A72" s="252" t="s">
        <v>73</v>
      </c>
      <c r="B72" s="253">
        <v>0.3</v>
      </c>
      <c r="C72" s="253"/>
      <c r="D72" s="253"/>
      <c r="E72" s="253" t="s">
        <v>366</v>
      </c>
      <c r="F72" s="254">
        <v>2</v>
      </c>
      <c r="G72" s="253">
        <v>0.6</v>
      </c>
    </row>
    <row r="73" spans="1:7" x14ac:dyDescent="0.2">
      <c r="A73" s="423" t="s">
        <v>362</v>
      </c>
      <c r="B73" s="424">
        <v>0.3</v>
      </c>
      <c r="C73" s="424"/>
      <c r="D73" s="424"/>
      <c r="E73" s="424" t="s">
        <v>366</v>
      </c>
      <c r="F73" s="251">
        <v>1.4</v>
      </c>
      <c r="G73" s="424">
        <v>0.42</v>
      </c>
    </row>
    <row r="74" spans="1:7" x14ac:dyDescent="0.2">
      <c r="A74" s="454" t="s">
        <v>368</v>
      </c>
      <c r="B74" s="454"/>
      <c r="C74" s="454"/>
      <c r="D74" s="454"/>
      <c r="E74" s="454"/>
      <c r="F74" s="454"/>
      <c r="G74" s="454"/>
    </row>
    <row r="75" spans="1:7" x14ac:dyDescent="0.2">
      <c r="A75" s="454" t="s">
        <v>369</v>
      </c>
      <c r="B75" s="454"/>
      <c r="C75" s="454"/>
      <c r="D75" s="454"/>
      <c r="E75" s="454"/>
      <c r="F75" s="454"/>
      <c r="G75" s="454"/>
    </row>
    <row r="76" spans="1:7" x14ac:dyDescent="0.2">
      <c r="A76" s="455" t="s">
        <v>370</v>
      </c>
      <c r="B76" s="455"/>
      <c r="C76" s="455"/>
      <c r="D76" s="455"/>
      <c r="E76" s="455"/>
      <c r="F76" s="455"/>
      <c r="G76" s="455"/>
    </row>
    <row r="77" spans="1:7" x14ac:dyDescent="0.2">
      <c r="A77" s="454" t="s">
        <v>371</v>
      </c>
      <c r="B77" s="454"/>
      <c r="C77" s="454"/>
      <c r="D77" s="454"/>
      <c r="E77" s="454"/>
      <c r="F77" s="454"/>
      <c r="G77" s="454"/>
    </row>
    <row r="78" spans="1:7" ht="12.75" thickBot="1" x14ac:dyDescent="0.25">
      <c r="A78" s="453" t="s">
        <v>372</v>
      </c>
      <c r="B78" s="453"/>
      <c r="C78" s="453"/>
      <c r="D78" s="453"/>
      <c r="E78" s="453"/>
      <c r="F78" s="453"/>
      <c r="G78" s="453"/>
    </row>
    <row r="81" spans="1:2" ht="18.75" x14ac:dyDescent="0.3">
      <c r="A81" s="397" t="s">
        <v>162</v>
      </c>
      <c r="B81" s="398"/>
    </row>
    <row r="82" spans="1:2" x14ac:dyDescent="0.2">
      <c r="A82" s="226" t="s">
        <v>420</v>
      </c>
    </row>
    <row r="83" spans="1:2" x14ac:dyDescent="0.2">
      <c r="A83" t="s">
        <v>422</v>
      </c>
    </row>
    <row r="84" spans="1:2" ht="22.5" customHeight="1" x14ac:dyDescent="0.2">
      <c r="A84" s="226" t="s">
        <v>421</v>
      </c>
    </row>
  </sheetData>
  <mergeCells count="13">
    <mergeCell ref="A78:G78"/>
    <mergeCell ref="A61:G61"/>
    <mergeCell ref="A69:G69"/>
    <mergeCell ref="A74:G74"/>
    <mergeCell ref="A75:G75"/>
    <mergeCell ref="A76:G76"/>
    <mergeCell ref="A77:G77"/>
    <mergeCell ref="A53:G53"/>
    <mergeCell ref="A47:G47"/>
    <mergeCell ref="A48:A49"/>
    <mergeCell ref="B48:B49"/>
    <mergeCell ref="F48:F49"/>
    <mergeCell ref="A50:G50"/>
  </mergeCells>
  <hyperlinks>
    <hyperlink ref="A84" r:id="rId1" xr:uid="{44D5ED52-FF3E-4EDF-BDE6-4F4763627B4F}"/>
    <hyperlink ref="A82" r:id="rId2" xr:uid="{7F36B640-0492-4CFE-B234-D4643A3D1022}"/>
  </hyperlinks>
  <pageMargins left="0.7" right="0.7" top="0.75" bottom="0.75" header="0.3" footer="0.3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0FC5-8368-4C07-9F7C-77F2FE9238EF}">
  <dimension ref="A2:O64"/>
  <sheetViews>
    <sheetView workbookViewId="0">
      <selection activeCell="N10" sqref="N10"/>
    </sheetView>
  </sheetViews>
  <sheetFormatPr defaultRowHeight="12" x14ac:dyDescent="0.2"/>
  <cols>
    <col min="1" max="1" width="63.85546875" customWidth="1"/>
    <col min="2" max="2" width="14.28515625" customWidth="1"/>
    <col min="3" max="4" width="11.28515625" customWidth="1"/>
    <col min="5" max="5" width="14" customWidth="1"/>
    <col min="6" max="6" width="20" customWidth="1"/>
    <col min="7" max="7" width="18.5703125" hidden="1" customWidth="1"/>
    <col min="8" max="8" width="18.5703125" customWidth="1"/>
    <col min="9" max="9" width="16.5703125" customWidth="1"/>
    <col min="10" max="10" width="12.85546875" customWidth="1"/>
  </cols>
  <sheetData>
    <row r="2" spans="1:15" ht="15" thickBo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</row>
    <row r="3" spans="1:15" ht="68.25" customHeight="1" x14ac:dyDescent="0.2">
      <c r="A3" s="391" t="s">
        <v>194</v>
      </c>
      <c r="B3" s="392" t="s">
        <v>191</v>
      </c>
      <c r="C3" s="392" t="s">
        <v>386</v>
      </c>
      <c r="D3" s="392" t="s">
        <v>94</v>
      </c>
      <c r="E3" s="392" t="s">
        <v>320</v>
      </c>
      <c r="F3" s="392" t="s">
        <v>321</v>
      </c>
      <c r="G3" s="393" t="s">
        <v>138</v>
      </c>
      <c r="H3" s="392" t="s">
        <v>315</v>
      </c>
      <c r="I3" s="392" t="s">
        <v>389</v>
      </c>
      <c r="J3" s="394" t="s">
        <v>139</v>
      </c>
    </row>
    <row r="4" spans="1:15" ht="27.75" thickBot="1" x14ac:dyDescent="0.3">
      <c r="A4" s="395"/>
      <c r="B4" s="237" t="s">
        <v>131</v>
      </c>
      <c r="C4" s="237" t="s">
        <v>390</v>
      </c>
      <c r="D4" s="237" t="s">
        <v>390</v>
      </c>
      <c r="E4" s="237" t="s">
        <v>132</v>
      </c>
      <c r="F4" s="237" t="s">
        <v>172</v>
      </c>
      <c r="G4" s="237" t="s">
        <v>133</v>
      </c>
      <c r="H4" s="237" t="s">
        <v>17</v>
      </c>
      <c r="I4" s="237" t="s">
        <v>134</v>
      </c>
      <c r="J4" s="396" t="s">
        <v>162</v>
      </c>
      <c r="O4" s="228"/>
    </row>
    <row r="5" spans="1:15" ht="19.5" thickBot="1" x14ac:dyDescent="0.35">
      <c r="A5" s="111" t="s">
        <v>197</v>
      </c>
      <c r="B5" s="98"/>
      <c r="C5" s="98"/>
      <c r="D5" s="98"/>
      <c r="E5" s="98"/>
      <c r="F5" s="98"/>
      <c r="G5" s="98"/>
      <c r="H5" s="98"/>
      <c r="I5" s="98"/>
      <c r="J5" s="110"/>
    </row>
    <row r="6" spans="1:15" ht="14.25" x14ac:dyDescent="0.2">
      <c r="A6" s="142" t="s">
        <v>152</v>
      </c>
      <c r="B6" s="140">
        <v>100</v>
      </c>
      <c r="C6" s="140">
        <v>3.98</v>
      </c>
      <c r="D6" s="140">
        <v>4.5</v>
      </c>
      <c r="E6" s="140">
        <v>0.2</v>
      </c>
      <c r="F6" s="167">
        <v>13</v>
      </c>
      <c r="G6" s="140">
        <v>0.2</v>
      </c>
      <c r="H6" s="140">
        <v>0.5</v>
      </c>
      <c r="I6" s="402">
        <f>+E40</f>
        <v>2.4907749077490777</v>
      </c>
      <c r="J6" s="168">
        <v>13.4</v>
      </c>
    </row>
    <row r="7" spans="1:15" ht="14.25" hidden="1" x14ac:dyDescent="0.2">
      <c r="A7" s="143" t="s">
        <v>136</v>
      </c>
      <c r="B7" s="100">
        <v>100</v>
      </c>
      <c r="C7" s="100"/>
      <c r="D7" s="100"/>
      <c r="E7" s="100">
        <v>0.2</v>
      </c>
      <c r="F7" s="163" t="e">
        <f>#REF!/0.79</f>
        <v>#REF!</v>
      </c>
      <c r="G7" s="100">
        <v>0.2</v>
      </c>
      <c r="H7" s="100">
        <v>0.6</v>
      </c>
      <c r="I7" s="403">
        <f t="shared" ref="I7" si="0">+E41</f>
        <v>19.308943089430894</v>
      </c>
      <c r="J7" s="164">
        <f>IF('[1]Slaughter pigs'!$E$4=2005, 14.18, 13.7)</f>
        <v>13.7</v>
      </c>
    </row>
    <row r="8" spans="1:15" ht="14.25" x14ac:dyDescent="0.2">
      <c r="A8" s="144" t="s">
        <v>391</v>
      </c>
      <c r="B8" s="100">
        <v>77</v>
      </c>
      <c r="C8" s="100" t="s">
        <v>392</v>
      </c>
      <c r="D8" s="100" t="s">
        <v>395</v>
      </c>
      <c r="E8" s="100">
        <v>0.2</v>
      </c>
      <c r="F8" s="163">
        <v>21</v>
      </c>
      <c r="G8" s="100">
        <v>1</v>
      </c>
      <c r="H8" s="100">
        <v>3</v>
      </c>
      <c r="I8" s="403">
        <v>19</v>
      </c>
      <c r="J8" s="390" t="s">
        <v>415</v>
      </c>
      <c r="K8" s="198"/>
      <c r="L8" s="228"/>
    </row>
    <row r="9" spans="1:15" ht="14.25" x14ac:dyDescent="0.2">
      <c r="A9" s="143" t="s">
        <v>401</v>
      </c>
      <c r="B9" s="100">
        <v>76</v>
      </c>
      <c r="C9" s="100" t="s">
        <v>393</v>
      </c>
      <c r="D9" s="100" t="s">
        <v>394</v>
      </c>
      <c r="E9" s="100">
        <v>0.2</v>
      </c>
      <c r="F9" s="163">
        <v>17</v>
      </c>
      <c r="G9" s="100">
        <v>3.3</v>
      </c>
      <c r="H9" s="198">
        <v>1.4</v>
      </c>
      <c r="I9" s="403">
        <v>5.0999999999999996</v>
      </c>
      <c r="J9" s="390" t="s">
        <v>415</v>
      </c>
      <c r="K9" s="198"/>
      <c r="L9" s="228"/>
    </row>
    <row r="10" spans="1:15" ht="14.25" x14ac:dyDescent="0.2">
      <c r="A10" s="143" t="s">
        <v>402</v>
      </c>
      <c r="B10" s="100">
        <v>76</v>
      </c>
      <c r="C10" s="100" t="s">
        <v>393</v>
      </c>
      <c r="D10" s="100" t="s">
        <v>394</v>
      </c>
      <c r="E10" s="100">
        <v>0.2</v>
      </c>
      <c r="F10" s="163">
        <v>19</v>
      </c>
      <c r="G10" s="100">
        <v>13.4</v>
      </c>
      <c r="H10" s="198">
        <v>0.8</v>
      </c>
      <c r="I10" s="403">
        <v>5.2</v>
      </c>
      <c r="J10" s="390" t="s">
        <v>415</v>
      </c>
      <c r="K10" s="198"/>
      <c r="L10" s="228"/>
    </row>
    <row r="11" spans="1:15" ht="14.25" x14ac:dyDescent="0.2">
      <c r="A11" s="143" t="s">
        <v>154</v>
      </c>
      <c r="B11" s="100">
        <v>0</v>
      </c>
      <c r="C11" s="100">
        <v>1.78</v>
      </c>
      <c r="D11" s="100">
        <v>33</v>
      </c>
      <c r="E11" s="100">
        <v>1</v>
      </c>
      <c r="F11" s="163">
        <v>20</v>
      </c>
      <c r="G11" s="100">
        <v>1</v>
      </c>
      <c r="H11" s="100">
        <v>7</v>
      </c>
      <c r="I11" s="403">
        <v>10</v>
      </c>
      <c r="J11" s="164">
        <v>14.7</v>
      </c>
    </row>
    <row r="12" spans="1:15" ht="15" thickBot="1" x14ac:dyDescent="0.25">
      <c r="A12" s="60" t="s">
        <v>403</v>
      </c>
      <c r="B12" s="139">
        <v>100</v>
      </c>
      <c r="C12" s="139">
        <v>4.7</v>
      </c>
      <c r="D12" s="139">
        <v>4.5</v>
      </c>
      <c r="E12" s="139">
        <v>0.2</v>
      </c>
      <c r="F12" s="165">
        <v>16</v>
      </c>
      <c r="G12" s="139">
        <v>0.2</v>
      </c>
      <c r="H12" s="139">
        <v>0.5</v>
      </c>
      <c r="I12" s="404">
        <v>2.5</v>
      </c>
      <c r="J12" s="166">
        <v>13.4</v>
      </c>
    </row>
    <row r="13" spans="1:15" ht="16.5" thickBot="1" x14ac:dyDescent="0.3">
      <c r="A13" s="105" t="s">
        <v>199</v>
      </c>
      <c r="B13" s="77"/>
      <c r="C13" s="77"/>
      <c r="D13" s="77"/>
      <c r="E13" s="77"/>
      <c r="F13" s="76"/>
      <c r="G13" s="77"/>
      <c r="H13" s="77"/>
      <c r="I13" s="77"/>
      <c r="J13" s="77"/>
    </row>
    <row r="14" spans="1:15" ht="14.25" x14ac:dyDescent="0.2">
      <c r="A14" s="71" t="s">
        <v>195</v>
      </c>
      <c r="B14" s="140">
        <v>73</v>
      </c>
      <c r="C14" s="140" t="s">
        <v>408</v>
      </c>
      <c r="D14" s="140" t="s">
        <v>409</v>
      </c>
      <c r="E14" s="140"/>
      <c r="F14" s="167">
        <v>18</v>
      </c>
      <c r="G14" s="140"/>
      <c r="H14" s="140"/>
      <c r="I14" s="140">
        <v>5.6</v>
      </c>
      <c r="J14" s="168" t="s">
        <v>415</v>
      </c>
    </row>
    <row r="15" spans="1:15" ht="14.25" x14ac:dyDescent="0.2">
      <c r="A15" s="59" t="s">
        <v>121</v>
      </c>
      <c r="B15" s="100">
        <v>0</v>
      </c>
      <c r="C15" s="100">
        <v>2.44</v>
      </c>
      <c r="D15" s="100">
        <v>8.1999999999999993</v>
      </c>
      <c r="E15" s="100"/>
      <c r="F15" s="163">
        <v>0</v>
      </c>
      <c r="G15" s="100"/>
      <c r="H15" s="100"/>
      <c r="I15" s="100">
        <v>0</v>
      </c>
      <c r="J15" s="164">
        <v>1</v>
      </c>
    </row>
    <row r="16" spans="1:15" ht="15" thickBot="1" x14ac:dyDescent="0.25">
      <c r="A16" s="60" t="s">
        <v>192</v>
      </c>
      <c r="B16" s="139">
        <v>100</v>
      </c>
      <c r="C16" s="139">
        <v>4</v>
      </c>
      <c r="D16" s="139">
        <v>5</v>
      </c>
      <c r="E16" s="139"/>
      <c r="F16" s="165">
        <v>16</v>
      </c>
      <c r="G16" s="139"/>
      <c r="H16" s="139"/>
      <c r="I16" s="139">
        <v>2.4</v>
      </c>
      <c r="J16" s="166">
        <v>13.4</v>
      </c>
    </row>
    <row r="17" spans="1:10" ht="16.5" thickBot="1" x14ac:dyDescent="0.3">
      <c r="A17" s="109" t="s">
        <v>198</v>
      </c>
      <c r="B17" s="199"/>
      <c r="C17" s="199"/>
      <c r="D17" s="199"/>
      <c r="E17" s="199"/>
      <c r="F17" s="200"/>
      <c r="G17" s="199"/>
      <c r="H17" s="199"/>
      <c r="I17" s="199"/>
      <c r="J17" s="199"/>
    </row>
    <row r="18" spans="1:10" ht="14.25" x14ac:dyDescent="0.2">
      <c r="A18" s="142" t="s">
        <v>182</v>
      </c>
      <c r="B18" s="140">
        <v>100</v>
      </c>
      <c r="C18" s="140">
        <v>1.71</v>
      </c>
      <c r="D18" s="140">
        <v>4.5</v>
      </c>
      <c r="E18" s="140">
        <f>E6</f>
        <v>0.2</v>
      </c>
      <c r="F18" s="167">
        <v>16</v>
      </c>
      <c r="G18" s="140">
        <v>0.2</v>
      </c>
      <c r="H18" s="140">
        <v>0.5</v>
      </c>
      <c r="I18" s="140">
        <v>2.6</v>
      </c>
      <c r="J18" s="168">
        <v>13.4</v>
      </c>
    </row>
    <row r="19" spans="1:10" ht="14.25" x14ac:dyDescent="0.2">
      <c r="A19" s="143" t="s">
        <v>498</v>
      </c>
      <c r="B19" s="100">
        <v>100</v>
      </c>
      <c r="C19" s="100">
        <v>1.71</v>
      </c>
      <c r="D19" s="100">
        <v>4.5</v>
      </c>
      <c r="E19" s="100">
        <v>0.2</v>
      </c>
      <c r="F19" s="163">
        <v>31</v>
      </c>
      <c r="G19" s="100"/>
      <c r="H19" s="100">
        <v>0.5</v>
      </c>
      <c r="I19" s="100">
        <v>3</v>
      </c>
      <c r="J19" s="164">
        <v>13.4</v>
      </c>
    </row>
    <row r="20" spans="1:10" ht="14.25" x14ac:dyDescent="0.2">
      <c r="A20" s="143" t="s">
        <v>183</v>
      </c>
      <c r="B20" s="100">
        <v>100</v>
      </c>
      <c r="C20" s="100">
        <v>1.71</v>
      </c>
      <c r="D20" s="100">
        <v>4.5</v>
      </c>
      <c r="E20" s="100">
        <f>E6</f>
        <v>0.2</v>
      </c>
      <c r="F20" s="163">
        <v>13</v>
      </c>
      <c r="G20" s="100">
        <v>0.2</v>
      </c>
      <c r="H20" s="100">
        <v>0.5</v>
      </c>
      <c r="I20" s="100">
        <v>2.6</v>
      </c>
      <c r="J20" s="164">
        <v>13.4</v>
      </c>
    </row>
    <row r="21" spans="1:10" ht="14.25" x14ac:dyDescent="0.2">
      <c r="A21" s="143" t="s">
        <v>184</v>
      </c>
      <c r="B21" s="100">
        <v>100</v>
      </c>
      <c r="C21" s="100">
        <v>1.71</v>
      </c>
      <c r="D21" s="100">
        <v>4.5</v>
      </c>
      <c r="E21" s="100">
        <f>E7</f>
        <v>0.2</v>
      </c>
      <c r="F21" s="163">
        <v>26</v>
      </c>
      <c r="G21" s="100">
        <v>0.2</v>
      </c>
      <c r="H21" s="100">
        <v>0.5</v>
      </c>
      <c r="I21" s="100">
        <v>3</v>
      </c>
      <c r="J21" s="164">
        <v>13.4</v>
      </c>
    </row>
    <row r="22" spans="1:10" ht="15" thickBot="1" x14ac:dyDescent="0.25">
      <c r="A22" s="215" t="s">
        <v>201</v>
      </c>
      <c r="B22" s="139">
        <v>0</v>
      </c>
      <c r="C22" s="139">
        <v>1.3</v>
      </c>
      <c r="D22" s="139">
        <v>7.7</v>
      </c>
      <c r="E22" s="139">
        <v>0.2</v>
      </c>
      <c r="F22" s="165">
        <v>22</v>
      </c>
      <c r="G22" s="139">
        <v>0.2</v>
      </c>
      <c r="H22" s="139">
        <v>0.5</v>
      </c>
      <c r="I22" s="115"/>
      <c r="J22" s="166">
        <v>1</v>
      </c>
    </row>
    <row r="23" spans="1:10" ht="15" thickBot="1" x14ac:dyDescent="0.25">
      <c r="A23" s="346" t="s">
        <v>200</v>
      </c>
      <c r="B23" s="349">
        <v>0</v>
      </c>
      <c r="C23" s="349">
        <v>2.44</v>
      </c>
      <c r="D23" s="349">
        <v>8.1999999999999993</v>
      </c>
      <c r="E23" s="349">
        <f>E6</f>
        <v>0.2</v>
      </c>
      <c r="F23" s="350">
        <v>22</v>
      </c>
      <c r="G23" s="349">
        <v>0.2</v>
      </c>
      <c r="H23" s="349">
        <v>0.5</v>
      </c>
      <c r="I23" s="30"/>
      <c r="J23" s="351">
        <v>1</v>
      </c>
    </row>
    <row r="24" spans="1:10" ht="14.25" x14ac:dyDescent="0.2">
      <c r="A24" s="102"/>
      <c r="B24" s="77"/>
      <c r="C24" s="77"/>
      <c r="D24" s="77"/>
      <c r="E24" s="77"/>
      <c r="F24" s="76"/>
      <c r="G24" s="77"/>
      <c r="H24" s="77"/>
      <c r="I24" s="77"/>
      <c r="J24" s="77"/>
    </row>
    <row r="25" spans="1:10" ht="14.25" x14ac:dyDescent="0.2">
      <c r="A25" s="106"/>
      <c r="B25" s="107"/>
      <c r="C25" s="107"/>
      <c r="D25" s="107"/>
      <c r="E25" s="107"/>
      <c r="F25" s="108"/>
      <c r="G25" s="107"/>
      <c r="H25" s="107"/>
      <c r="I25" s="107"/>
      <c r="J25" s="107"/>
    </row>
    <row r="26" spans="1:10" ht="16.5" thickBot="1" x14ac:dyDescent="0.3">
      <c r="A26" s="104" t="s">
        <v>160</v>
      </c>
      <c r="B26" s="77"/>
      <c r="C26" s="77"/>
      <c r="D26" s="77"/>
      <c r="E26" s="77"/>
      <c r="F26" s="76"/>
      <c r="G26" s="77"/>
      <c r="H26" s="77"/>
      <c r="I26" s="77"/>
      <c r="J26" s="77"/>
    </row>
    <row r="27" spans="1:10" ht="14.25" x14ac:dyDescent="0.2">
      <c r="A27" s="352" t="s">
        <v>147</v>
      </c>
      <c r="B27" s="353"/>
      <c r="C27" s="353"/>
      <c r="D27" s="353"/>
      <c r="E27" s="354"/>
      <c r="F27" s="140"/>
      <c r="G27" s="353"/>
      <c r="H27" s="353"/>
      <c r="I27" s="355"/>
      <c r="J27" s="219">
        <v>-0.22600000000000001</v>
      </c>
    </row>
    <row r="28" spans="1:10" ht="14.25" x14ac:dyDescent="0.2">
      <c r="A28" s="147" t="s">
        <v>146</v>
      </c>
      <c r="B28" s="137"/>
      <c r="C28" s="137"/>
      <c r="D28" s="137"/>
      <c r="E28" s="174">
        <v>-0.22</v>
      </c>
      <c r="F28" s="174">
        <v>-0.64</v>
      </c>
      <c r="G28" s="99"/>
      <c r="H28" s="99"/>
      <c r="I28" s="99"/>
      <c r="J28" s="175">
        <v>-0.6</v>
      </c>
    </row>
    <row r="29" spans="1:10" ht="14.25" x14ac:dyDescent="0.2">
      <c r="A29" s="147" t="s">
        <v>145</v>
      </c>
      <c r="B29" s="137"/>
      <c r="C29" s="137"/>
      <c r="D29" s="137"/>
      <c r="E29" s="100"/>
      <c r="F29" s="100"/>
      <c r="G29" s="99"/>
      <c r="H29" s="99"/>
      <c r="I29" s="99"/>
      <c r="J29" s="175">
        <v>-0.39</v>
      </c>
    </row>
    <row r="30" spans="1:10" ht="14.25" hidden="1" x14ac:dyDescent="0.2">
      <c r="A30" s="356" t="s">
        <v>137</v>
      </c>
      <c r="B30" s="137"/>
      <c r="C30" s="137"/>
      <c r="D30" s="137"/>
      <c r="E30" s="174">
        <v>-0.95</v>
      </c>
      <c r="F30" s="100"/>
      <c r="G30" s="99"/>
      <c r="H30" s="99"/>
      <c r="I30" s="99"/>
      <c r="J30" s="175">
        <v>-0.95</v>
      </c>
    </row>
    <row r="31" spans="1:10" ht="14.25" x14ac:dyDescent="0.2">
      <c r="A31" s="147" t="s">
        <v>143</v>
      </c>
      <c r="B31" s="137"/>
      <c r="C31" s="137"/>
      <c r="D31" s="137"/>
      <c r="E31" s="100"/>
      <c r="F31" s="174">
        <v>-0.89</v>
      </c>
      <c r="G31" s="99"/>
      <c r="H31" s="99"/>
      <c r="I31" s="99"/>
      <c r="J31" s="175">
        <v>0.08</v>
      </c>
    </row>
    <row r="32" spans="1:10" ht="14.25" x14ac:dyDescent="0.2">
      <c r="A32" s="147" t="s">
        <v>144</v>
      </c>
      <c r="B32" s="137"/>
      <c r="C32" s="137"/>
      <c r="D32" s="137"/>
      <c r="E32" s="100"/>
      <c r="F32" s="174">
        <v>-0.54</v>
      </c>
      <c r="G32" s="99"/>
      <c r="H32" s="99"/>
      <c r="I32" s="99"/>
      <c r="J32" s="164">
        <v>8</v>
      </c>
    </row>
    <row r="33" spans="1:14" ht="14.25" x14ac:dyDescent="0.2">
      <c r="A33" s="147" t="s">
        <v>151</v>
      </c>
      <c r="B33" s="137"/>
      <c r="C33" s="137"/>
      <c r="D33" s="137"/>
      <c r="E33" s="100"/>
      <c r="F33" s="174">
        <v>-0.5</v>
      </c>
      <c r="G33" s="99"/>
      <c r="H33" s="99"/>
      <c r="I33" s="99"/>
      <c r="J33" s="164"/>
    </row>
    <row r="34" spans="1:14" ht="14.25" x14ac:dyDescent="0.2">
      <c r="A34" s="147" t="s">
        <v>148</v>
      </c>
      <c r="B34" s="137"/>
      <c r="C34" s="137"/>
      <c r="D34" s="137"/>
      <c r="E34" s="101"/>
      <c r="F34" s="101"/>
      <c r="G34" s="99"/>
      <c r="H34" s="99"/>
      <c r="I34" s="99"/>
      <c r="J34" s="175">
        <v>0.67</v>
      </c>
    </row>
    <row r="35" spans="1:14" ht="15" thickBot="1" x14ac:dyDescent="0.25">
      <c r="A35" s="148" t="s">
        <v>149</v>
      </c>
      <c r="B35" s="357"/>
      <c r="C35" s="357"/>
      <c r="D35" s="357"/>
      <c r="E35" s="358"/>
      <c r="F35" s="358"/>
      <c r="G35" s="359"/>
      <c r="H35" s="359"/>
      <c r="I35" s="359"/>
      <c r="J35" s="177">
        <f>J29+J27</f>
        <v>-0.61599999999999999</v>
      </c>
    </row>
    <row r="36" spans="1:14" x14ac:dyDescent="0.2">
      <c r="F36" s="18"/>
    </row>
    <row r="38" spans="1:14" ht="12.75" thickBot="1" x14ac:dyDescent="0.25"/>
    <row r="39" spans="1:14" ht="37.5" thickBot="1" x14ac:dyDescent="0.3">
      <c r="A39" s="337" t="s">
        <v>397</v>
      </c>
      <c r="B39" s="31" t="s">
        <v>400</v>
      </c>
      <c r="C39" s="31" t="s">
        <v>379</v>
      </c>
      <c r="D39" s="31" t="s">
        <v>377</v>
      </c>
      <c r="E39" s="31" t="s">
        <v>378</v>
      </c>
      <c r="F39" s="31" t="s">
        <v>383</v>
      </c>
      <c r="G39" s="30"/>
      <c r="H39" s="32" t="s">
        <v>384</v>
      </c>
      <c r="K39" s="1"/>
      <c r="L39" s="1"/>
      <c r="M39" s="1"/>
      <c r="N39" s="1"/>
    </row>
    <row r="40" spans="1:14" ht="14.25" x14ac:dyDescent="0.2">
      <c r="A40" s="142" t="str">
        <f>+A6</f>
        <v>Individuel opstaldning, delvis spaltegulv</v>
      </c>
      <c r="B40" s="45">
        <v>12.46</v>
      </c>
      <c r="C40" s="45">
        <f t="shared" ref="C40:C45" si="1">+B40*(100-D40)/100</f>
        <v>10.84</v>
      </c>
      <c r="D40" s="40">
        <f t="shared" ref="D40:D45" si="2">+F40*100/B40</f>
        <v>13.001605136436597</v>
      </c>
      <c r="E40" s="256">
        <f t="shared" ref="E40:E45" si="3">+H40*100/C40</f>
        <v>2.4907749077490777</v>
      </c>
      <c r="F40" s="41">
        <v>1.62</v>
      </c>
      <c r="G40" s="18"/>
      <c r="H40" s="41">
        <v>0.27</v>
      </c>
      <c r="K40" s="18"/>
      <c r="L40" s="201"/>
      <c r="M40" s="18"/>
      <c r="N40" s="120"/>
    </row>
    <row r="41" spans="1:14" ht="14.25" x14ac:dyDescent="0.2">
      <c r="A41" s="144" t="s">
        <v>391</v>
      </c>
      <c r="B41" s="45">
        <v>12.46</v>
      </c>
      <c r="C41" s="45">
        <f t="shared" si="1"/>
        <v>9.84</v>
      </c>
      <c r="D41" s="40">
        <f t="shared" si="2"/>
        <v>21.02728731942215</v>
      </c>
      <c r="E41" s="40">
        <f t="shared" si="3"/>
        <v>19.308943089430894</v>
      </c>
      <c r="F41" s="41">
        <v>2.62</v>
      </c>
      <c r="G41" s="18"/>
      <c r="H41" s="41">
        <v>1.9</v>
      </c>
      <c r="K41" s="18"/>
      <c r="L41" s="201"/>
      <c r="M41" s="18"/>
      <c r="N41" s="120"/>
    </row>
    <row r="42" spans="1:14" ht="14.25" x14ac:dyDescent="0.2">
      <c r="A42" s="143" t="s">
        <v>401</v>
      </c>
      <c r="B42" s="45">
        <v>12.46</v>
      </c>
      <c r="C42" s="45">
        <f t="shared" si="1"/>
        <v>10.29</v>
      </c>
      <c r="D42" s="40">
        <f t="shared" si="2"/>
        <v>17.415730337078649</v>
      </c>
      <c r="E42" s="256">
        <f t="shared" si="3"/>
        <v>5.0534499514091351</v>
      </c>
      <c r="F42" s="41">
        <v>2.17</v>
      </c>
      <c r="G42" s="18"/>
      <c r="H42" s="41">
        <v>0.52</v>
      </c>
      <c r="K42" s="18"/>
      <c r="L42" s="201"/>
      <c r="M42" s="18"/>
      <c r="N42" s="120"/>
    </row>
    <row r="43" spans="1:14" ht="14.25" x14ac:dyDescent="0.2">
      <c r="A43" s="143" t="s">
        <v>402</v>
      </c>
      <c r="B43" s="45">
        <v>12.46</v>
      </c>
      <c r="C43" s="45">
        <f t="shared" si="1"/>
        <v>10.040000000000001</v>
      </c>
      <c r="D43" s="40">
        <f t="shared" si="2"/>
        <v>19.42215088282504</v>
      </c>
      <c r="E43" s="256">
        <f t="shared" si="3"/>
        <v>5.1792828685258963</v>
      </c>
      <c r="F43" s="96">
        <v>2.42</v>
      </c>
      <c r="G43" s="18"/>
      <c r="H43" s="96">
        <v>0.52</v>
      </c>
      <c r="K43" s="18"/>
      <c r="L43" s="201"/>
      <c r="M43" s="18"/>
      <c r="N43" s="120"/>
    </row>
    <row r="44" spans="1:14" ht="14.25" x14ac:dyDescent="0.2">
      <c r="A44" s="143" t="s">
        <v>154</v>
      </c>
      <c r="B44" s="45">
        <v>12.46</v>
      </c>
      <c r="C44" s="45">
        <f t="shared" si="1"/>
        <v>9.92</v>
      </c>
      <c r="D44" s="40">
        <f t="shared" si="2"/>
        <v>20.385232744783305</v>
      </c>
      <c r="E44" s="40">
        <f t="shared" si="3"/>
        <v>10.28225806451613</v>
      </c>
      <c r="F44" s="96">
        <v>2.54</v>
      </c>
      <c r="G44" s="18"/>
      <c r="H44" s="96">
        <v>1.02</v>
      </c>
      <c r="K44" s="18"/>
      <c r="L44" s="201"/>
      <c r="M44" s="18"/>
      <c r="N44" s="120"/>
    </row>
    <row r="45" spans="1:14" ht="12.75" thickBot="1" x14ac:dyDescent="0.25">
      <c r="A45" s="60" t="s">
        <v>403</v>
      </c>
      <c r="B45" s="45">
        <v>12.46</v>
      </c>
      <c r="C45" s="45">
        <f t="shared" si="1"/>
        <v>10.470000000000002</v>
      </c>
      <c r="D45" s="40">
        <f t="shared" si="2"/>
        <v>15.971107544141251</v>
      </c>
      <c r="E45" s="339">
        <f t="shared" si="3"/>
        <v>2.4832855778414511</v>
      </c>
      <c r="F45" s="96">
        <v>1.99</v>
      </c>
      <c r="G45" s="18"/>
      <c r="H45" s="96">
        <v>0.26</v>
      </c>
      <c r="K45" s="18"/>
      <c r="L45" s="201"/>
      <c r="M45" s="18"/>
      <c r="N45" s="120"/>
    </row>
    <row r="46" spans="1:14" ht="16.5" thickBot="1" x14ac:dyDescent="0.3">
      <c r="A46" s="338" t="s">
        <v>175</v>
      </c>
      <c r="B46" s="340"/>
      <c r="C46" s="340"/>
      <c r="D46" s="341"/>
      <c r="E46" s="37"/>
      <c r="F46" s="342"/>
      <c r="G46" s="37"/>
      <c r="H46" s="343"/>
      <c r="K46" s="18"/>
      <c r="L46" s="201"/>
      <c r="M46" s="18"/>
      <c r="N46" s="18"/>
    </row>
    <row r="47" spans="1:14" x14ac:dyDescent="0.2">
      <c r="A47" s="71" t="s">
        <v>404</v>
      </c>
      <c r="B47" s="340">
        <v>10.23</v>
      </c>
      <c r="C47" s="340">
        <f>+B47*(100-D47)/100</f>
        <v>8.43</v>
      </c>
      <c r="D47" s="341">
        <f>+F47*100/B47</f>
        <v>17.595307917888562</v>
      </c>
      <c r="E47" s="345">
        <f>+H47*100/C47</f>
        <v>5.5753262158956112</v>
      </c>
      <c r="F47" s="37">
        <v>1.8</v>
      </c>
      <c r="G47" s="37"/>
      <c r="H47" s="38">
        <v>0.47</v>
      </c>
      <c r="K47" s="18"/>
      <c r="L47" s="201"/>
      <c r="M47" s="18"/>
      <c r="N47" s="18"/>
    </row>
    <row r="48" spans="1:14" x14ac:dyDescent="0.2">
      <c r="A48" s="59" t="s">
        <v>121</v>
      </c>
      <c r="B48" s="255">
        <v>14.3</v>
      </c>
      <c r="C48" s="255">
        <f>+B48*(100-D48)/100</f>
        <v>14.3</v>
      </c>
      <c r="D48" s="40">
        <f>+F48*100/B48</f>
        <v>0</v>
      </c>
      <c r="E48" s="256">
        <f>+H48*100/C48</f>
        <v>0</v>
      </c>
      <c r="F48" s="41"/>
      <c r="G48" s="41"/>
      <c r="H48" s="42"/>
      <c r="K48" s="18"/>
      <c r="L48" s="201"/>
      <c r="M48" s="18"/>
      <c r="N48" s="18"/>
    </row>
    <row r="49" spans="1:14" ht="12.75" thickBot="1" x14ac:dyDescent="0.25">
      <c r="A49" s="60" t="s">
        <v>405</v>
      </c>
      <c r="B49" s="344">
        <v>10.23</v>
      </c>
      <c r="C49" s="344">
        <f>+B49*(100-D49)/100</f>
        <v>8.59</v>
      </c>
      <c r="D49" s="55">
        <f>+F49*100/B49</f>
        <v>16.03128054740958</v>
      </c>
      <c r="E49" s="257">
        <f>+H49*100/C49</f>
        <v>2.4447031431897557</v>
      </c>
      <c r="F49" s="225">
        <v>1.64</v>
      </c>
      <c r="G49" s="225"/>
      <c r="H49" s="49">
        <v>0.21</v>
      </c>
      <c r="K49" s="18"/>
      <c r="L49" s="201"/>
      <c r="M49" s="18"/>
      <c r="N49" s="18"/>
    </row>
    <row r="50" spans="1:14" x14ac:dyDescent="0.2">
      <c r="L50" s="6"/>
    </row>
    <row r="51" spans="1:14" x14ac:dyDescent="0.2">
      <c r="L51" s="6"/>
    </row>
    <row r="52" spans="1:14" ht="12.75" thickBot="1" x14ac:dyDescent="0.25">
      <c r="L52" s="6"/>
    </row>
    <row r="53" spans="1:14" ht="36.75" thickBot="1" x14ac:dyDescent="0.25">
      <c r="A53" s="103" t="s">
        <v>396</v>
      </c>
      <c r="B53" s="31" t="s">
        <v>400</v>
      </c>
      <c r="C53" s="31" t="s">
        <v>379</v>
      </c>
      <c r="D53" s="31" t="s">
        <v>377</v>
      </c>
      <c r="E53" s="31" t="s">
        <v>378</v>
      </c>
      <c r="F53" s="31" t="s">
        <v>383</v>
      </c>
      <c r="G53" s="30"/>
      <c r="H53" s="32" t="s">
        <v>384</v>
      </c>
      <c r="L53" s="6"/>
    </row>
    <row r="54" spans="1:14" ht="14.25" x14ac:dyDescent="0.2">
      <c r="A54" s="142" t="s">
        <v>182</v>
      </c>
      <c r="B54" s="340">
        <v>5.34</v>
      </c>
      <c r="C54" s="340">
        <f>+B54*(100-D54)/100</f>
        <v>4.4899999999999993</v>
      </c>
      <c r="D54" s="341">
        <f>+F54*100/B54</f>
        <v>15.917602996254683</v>
      </c>
      <c r="E54" s="345">
        <f>+H54*100/C54</f>
        <v>2.2271714922049002</v>
      </c>
      <c r="F54" s="37">
        <v>0.85</v>
      </c>
      <c r="G54" s="37"/>
      <c r="H54" s="38">
        <v>0.1</v>
      </c>
      <c r="L54" s="6"/>
    </row>
    <row r="55" spans="1:14" ht="14.25" x14ac:dyDescent="0.2">
      <c r="A55" s="143" t="s">
        <v>183</v>
      </c>
      <c r="B55" s="255">
        <v>5.34</v>
      </c>
      <c r="C55" s="255">
        <f>+B55*(100-D55)/100</f>
        <v>4.6499999999999995</v>
      </c>
      <c r="D55" s="40">
        <f>+F55*100/B55</f>
        <v>12.921348314606742</v>
      </c>
      <c r="E55" s="256">
        <f>+H55*100/C55</f>
        <v>2.580645161290323</v>
      </c>
      <c r="F55" s="41">
        <v>0.69</v>
      </c>
      <c r="G55" s="41"/>
      <c r="H55" s="42">
        <v>0.12</v>
      </c>
      <c r="L55" s="6"/>
    </row>
    <row r="56" spans="1:14" ht="14.25" x14ac:dyDescent="0.2">
      <c r="A56" s="143" t="s">
        <v>184</v>
      </c>
      <c r="B56" s="255">
        <v>5.34</v>
      </c>
      <c r="C56" s="255">
        <f>+B56*(100-D56)/100</f>
        <v>3.95</v>
      </c>
      <c r="D56" s="40">
        <f>+F56*100/B56</f>
        <v>26.029962546816481</v>
      </c>
      <c r="E56" s="40">
        <f>+H56*100/C56</f>
        <v>2.5316455696202529</v>
      </c>
      <c r="F56" s="41">
        <v>1.39</v>
      </c>
      <c r="G56" s="41"/>
      <c r="H56" s="42">
        <v>0.1</v>
      </c>
      <c r="L56" s="6"/>
    </row>
    <row r="57" spans="1:14" ht="15" thickBot="1" x14ac:dyDescent="0.25">
      <c r="A57" s="143" t="s">
        <v>196</v>
      </c>
      <c r="B57" s="255">
        <v>5.34</v>
      </c>
      <c r="C57" s="255">
        <f>+B57*(100-D57)/100</f>
        <v>4.4899999999999993</v>
      </c>
      <c r="D57" s="40">
        <f>+F57*100/B57</f>
        <v>15.917602996254683</v>
      </c>
      <c r="E57" s="40">
        <f>+H57*100/C57</f>
        <v>0</v>
      </c>
      <c r="F57" s="41">
        <v>0.85</v>
      </c>
      <c r="G57" s="41"/>
      <c r="H57" s="42">
        <v>0</v>
      </c>
      <c r="L57" s="6"/>
    </row>
    <row r="58" spans="1:14" ht="15" thickBot="1" x14ac:dyDescent="0.25">
      <c r="A58" s="346" t="s">
        <v>200</v>
      </c>
      <c r="B58" s="347">
        <v>14.3</v>
      </c>
      <c r="C58" s="348">
        <f>+B58*(100-D58)/100</f>
        <v>14.3</v>
      </c>
      <c r="D58" s="30"/>
      <c r="E58" s="30"/>
      <c r="F58" s="30"/>
      <c r="G58" s="30"/>
      <c r="H58" s="186"/>
      <c r="L58" s="6"/>
    </row>
    <row r="59" spans="1:14" x14ac:dyDescent="0.2">
      <c r="I59" s="6"/>
    </row>
    <row r="60" spans="1:14" x14ac:dyDescent="0.2">
      <c r="I60" s="6"/>
    </row>
    <row r="61" spans="1:14" ht="14.25" x14ac:dyDescent="0.2">
      <c r="A61" s="102" t="s">
        <v>406</v>
      </c>
    </row>
    <row r="62" spans="1:14" ht="14.25" x14ac:dyDescent="0.2">
      <c r="A62" s="102" t="s">
        <v>407</v>
      </c>
    </row>
    <row r="63" spans="1:14" ht="14.25" x14ac:dyDescent="0.2">
      <c r="A63" s="102"/>
    </row>
    <row r="64" spans="1:14" ht="14.25" x14ac:dyDescent="0.2">
      <c r="A64" s="102"/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F13C3-EB55-4592-829F-325699BE1B2C}">
  <dimension ref="A2:Q52"/>
  <sheetViews>
    <sheetView workbookViewId="0">
      <selection activeCell="N27" sqref="N27"/>
    </sheetView>
  </sheetViews>
  <sheetFormatPr defaultRowHeight="12" x14ac:dyDescent="0.2"/>
  <cols>
    <col min="1" max="1" width="36.5703125" customWidth="1"/>
    <col min="2" max="4" width="15.42578125" customWidth="1"/>
    <col min="5" max="5" width="12.5703125" customWidth="1"/>
    <col min="6" max="10" width="13" customWidth="1"/>
    <col min="11" max="11" width="13.7109375" customWidth="1"/>
    <col min="12" max="12" width="34.140625" customWidth="1"/>
    <col min="13" max="13" width="13.85546875" customWidth="1"/>
    <col min="14" max="15" width="12.85546875" customWidth="1"/>
    <col min="16" max="16" width="14.140625" customWidth="1"/>
  </cols>
  <sheetData>
    <row r="2" spans="1:17" ht="16.5" thickBot="1" x14ac:dyDescent="0.3">
      <c r="A2" s="2" t="s">
        <v>111</v>
      </c>
      <c r="C2" s="456" t="s">
        <v>202</v>
      </c>
      <c r="D2" s="456"/>
      <c r="E2" s="456"/>
      <c r="F2" s="456"/>
      <c r="G2" s="456"/>
      <c r="H2" s="456"/>
      <c r="I2" s="456"/>
      <c r="J2" s="456"/>
      <c r="K2" s="456"/>
    </row>
    <row r="3" spans="1:17" ht="45.75" customHeight="1" thickBot="1" x14ac:dyDescent="0.35">
      <c r="A3" s="29"/>
      <c r="B3" s="30"/>
      <c r="C3" s="30" t="s">
        <v>102</v>
      </c>
      <c r="D3" s="30" t="s">
        <v>28</v>
      </c>
      <c r="E3" s="31" t="s">
        <v>92</v>
      </c>
      <c r="F3" s="31" t="s">
        <v>95</v>
      </c>
      <c r="G3" s="31" t="s">
        <v>96</v>
      </c>
      <c r="H3" s="31" t="s">
        <v>104</v>
      </c>
      <c r="I3" s="31" t="s">
        <v>374</v>
      </c>
      <c r="J3" s="31" t="s">
        <v>375</v>
      </c>
      <c r="K3" s="31" t="s">
        <v>93</v>
      </c>
      <c r="L3" s="83"/>
      <c r="M3" s="83"/>
      <c r="N3" s="83"/>
      <c r="O3" s="83"/>
      <c r="P3" s="84"/>
      <c r="Q3" s="82"/>
    </row>
    <row r="4" spans="1:17" ht="13.5" thickBot="1" x14ac:dyDescent="0.25">
      <c r="A4" s="458" t="s">
        <v>71</v>
      </c>
      <c r="B4" s="19"/>
      <c r="C4" s="35"/>
      <c r="D4" s="36"/>
      <c r="E4" s="37"/>
      <c r="F4" s="37"/>
      <c r="G4" s="37"/>
      <c r="H4" s="37"/>
      <c r="I4" s="37"/>
      <c r="J4" s="37"/>
      <c r="K4" s="37"/>
    </row>
    <row r="5" spans="1:17" ht="13.5" thickBot="1" x14ac:dyDescent="0.25">
      <c r="A5" s="459"/>
      <c r="B5" s="33" t="s">
        <v>46</v>
      </c>
      <c r="C5" s="419">
        <v>82</v>
      </c>
      <c r="D5" s="420">
        <v>2.77</v>
      </c>
      <c r="E5" s="345">
        <f>+C5*D5</f>
        <v>227.14000000000001</v>
      </c>
      <c r="F5" s="37">
        <v>147.69999999999999</v>
      </c>
      <c r="G5" s="37">
        <v>81</v>
      </c>
      <c r="H5" s="37">
        <v>2.9600000000000001E-2</v>
      </c>
      <c r="I5" s="37">
        <v>6.25</v>
      </c>
      <c r="J5" s="411">
        <f>+(E5*F5/1000*G5/100)/I5-C5*H5</f>
        <v>1.9206957087999994</v>
      </c>
      <c r="K5" s="38">
        <v>0.55000000000000004</v>
      </c>
    </row>
    <row r="6" spans="1:17" ht="12.75" x14ac:dyDescent="0.2">
      <c r="A6" s="460" t="s">
        <v>72</v>
      </c>
      <c r="B6" s="21"/>
      <c r="C6" s="43"/>
      <c r="D6" s="25"/>
      <c r="E6" s="256"/>
      <c r="F6" s="41"/>
      <c r="G6" s="41"/>
      <c r="H6" s="41"/>
      <c r="I6" s="41"/>
      <c r="J6" s="45"/>
      <c r="K6" s="42"/>
    </row>
    <row r="7" spans="1:17" ht="13.5" thickBot="1" x14ac:dyDescent="0.25">
      <c r="A7" s="461"/>
      <c r="B7" s="34" t="s">
        <v>46</v>
      </c>
      <c r="C7" s="44">
        <v>82</v>
      </c>
      <c r="D7" s="26">
        <v>2.77</v>
      </c>
      <c r="E7" s="256">
        <f t="shared" ref="E7:E15" si="0">+C7*D7</f>
        <v>227.14000000000001</v>
      </c>
      <c r="F7" s="41">
        <v>147.69999999999999</v>
      </c>
      <c r="G7" s="41">
        <v>81</v>
      </c>
      <c r="H7" s="41">
        <v>2.9600000000000001E-2</v>
      </c>
      <c r="I7" s="41">
        <v>6.25</v>
      </c>
      <c r="J7" s="45">
        <f t="shared" ref="J7:J15" si="1">+(E7*F7/1000*G7/100)/I7-C7*H7</f>
        <v>1.9206957087999994</v>
      </c>
      <c r="K7" s="42">
        <v>0.55000000000000004</v>
      </c>
    </row>
    <row r="8" spans="1:17" ht="12.75" x14ac:dyDescent="0.2">
      <c r="A8" s="462" t="s">
        <v>44</v>
      </c>
      <c r="B8" s="19"/>
      <c r="C8" s="43"/>
      <c r="D8" s="25"/>
      <c r="E8" s="256"/>
      <c r="F8" s="41"/>
      <c r="G8" s="41"/>
      <c r="H8" s="41"/>
      <c r="I8" s="41"/>
      <c r="J8" s="45"/>
      <c r="K8" s="42"/>
    </row>
    <row r="9" spans="1:17" ht="13.5" thickBot="1" x14ac:dyDescent="0.25">
      <c r="A9" s="463"/>
      <c r="B9" s="33" t="s">
        <v>46</v>
      </c>
      <c r="C9" s="39">
        <v>82</v>
      </c>
      <c r="D9" s="24">
        <v>2.77</v>
      </c>
      <c r="E9" s="256">
        <f t="shared" si="0"/>
        <v>227.14000000000001</v>
      </c>
      <c r="F9" s="41">
        <v>147.69999999999999</v>
      </c>
      <c r="G9" s="41">
        <v>81</v>
      </c>
      <c r="H9" s="41">
        <v>2.9600000000000001E-2</v>
      </c>
      <c r="I9" s="41">
        <v>6.25</v>
      </c>
      <c r="J9" s="45">
        <f t="shared" si="1"/>
        <v>1.9206957087999994</v>
      </c>
      <c r="K9" s="42">
        <v>0.56000000000000005</v>
      </c>
    </row>
    <row r="10" spans="1:17" ht="12.75" x14ac:dyDescent="0.2">
      <c r="A10" s="460" t="s">
        <v>73</v>
      </c>
      <c r="B10" s="22" t="s">
        <v>78</v>
      </c>
      <c r="C10" s="44"/>
      <c r="D10" s="26"/>
      <c r="E10" s="256"/>
      <c r="F10" s="41"/>
      <c r="G10" s="41"/>
      <c r="H10" s="41"/>
      <c r="I10" s="41"/>
      <c r="J10" s="45"/>
      <c r="K10" s="421">
        <v>0.1</v>
      </c>
    </row>
    <row r="11" spans="1:17" ht="13.5" thickBot="1" x14ac:dyDescent="0.25">
      <c r="A11" s="461"/>
      <c r="B11" s="34" t="s">
        <v>80</v>
      </c>
      <c r="C11" s="44">
        <v>82</v>
      </c>
      <c r="D11" s="26">
        <v>2.77</v>
      </c>
      <c r="E11" s="256">
        <f t="shared" si="0"/>
        <v>227.14000000000001</v>
      </c>
      <c r="F11" s="41">
        <v>147.69999999999999</v>
      </c>
      <c r="G11" s="41">
        <v>81</v>
      </c>
      <c r="H11" s="41">
        <v>2.9600000000000001E-2</v>
      </c>
      <c r="I11" s="41">
        <v>6.25</v>
      </c>
      <c r="J11" s="45">
        <f t="shared" si="1"/>
        <v>1.9206957087999994</v>
      </c>
      <c r="K11" s="42">
        <v>0.36</v>
      </c>
    </row>
    <row r="12" spans="1:17" ht="12.75" x14ac:dyDescent="0.2">
      <c r="A12" s="12" t="s">
        <v>74</v>
      </c>
      <c r="B12" s="20" t="s">
        <v>47</v>
      </c>
      <c r="C12" s="39"/>
      <c r="D12" s="24"/>
      <c r="E12" s="256"/>
      <c r="F12" s="41"/>
      <c r="G12" s="41"/>
      <c r="H12" s="41"/>
      <c r="I12" s="41"/>
      <c r="J12" s="45"/>
      <c r="K12" s="42">
        <v>0.09</v>
      </c>
      <c r="L12" s="457"/>
    </row>
    <row r="13" spans="1:17" ht="13.5" thickBot="1" x14ac:dyDescent="0.25">
      <c r="A13" s="10" t="s">
        <v>75</v>
      </c>
      <c r="B13" s="33" t="s">
        <v>46</v>
      </c>
      <c r="C13" s="39">
        <v>82</v>
      </c>
      <c r="D13" s="24">
        <v>2.77</v>
      </c>
      <c r="E13" s="256">
        <f t="shared" si="0"/>
        <v>227.14000000000001</v>
      </c>
      <c r="F13" s="41">
        <v>147.69999999999999</v>
      </c>
      <c r="G13" s="41">
        <v>81</v>
      </c>
      <c r="H13" s="41">
        <v>2.9600000000000001E-2</v>
      </c>
      <c r="I13" s="41">
        <v>6.25</v>
      </c>
      <c r="J13" s="45">
        <f t="shared" si="1"/>
        <v>1.9206957087999994</v>
      </c>
      <c r="K13" s="42">
        <v>0.35</v>
      </c>
      <c r="L13" s="457"/>
    </row>
    <row r="14" spans="1:17" ht="12.75" x14ac:dyDescent="0.2">
      <c r="A14" s="460" t="s">
        <v>47</v>
      </c>
      <c r="B14" s="23"/>
      <c r="C14" s="46"/>
      <c r="D14" s="27"/>
      <c r="E14" s="256"/>
      <c r="F14" s="41"/>
      <c r="G14" s="41"/>
      <c r="H14" s="41"/>
      <c r="I14" s="41"/>
      <c r="J14" s="45"/>
      <c r="K14" s="42"/>
    </row>
    <row r="15" spans="1:17" ht="13.5" thickBot="1" x14ac:dyDescent="0.25">
      <c r="A15" s="461"/>
      <c r="B15" s="34" t="s">
        <v>47</v>
      </c>
      <c r="C15" s="47">
        <v>82</v>
      </c>
      <c r="D15" s="48">
        <v>2.77</v>
      </c>
      <c r="E15" s="257">
        <f t="shared" si="0"/>
        <v>227.14000000000001</v>
      </c>
      <c r="F15" s="225">
        <v>147.69999999999999</v>
      </c>
      <c r="G15" s="225">
        <v>81</v>
      </c>
      <c r="H15" s="225">
        <v>2.9600000000000001E-2</v>
      </c>
      <c r="I15" s="225">
        <v>6.25</v>
      </c>
      <c r="J15" s="412">
        <f t="shared" si="1"/>
        <v>1.9206957087999994</v>
      </c>
      <c r="K15" s="49">
        <v>0.18</v>
      </c>
    </row>
    <row r="16" spans="1:17" ht="12.75" x14ac:dyDescent="0.2">
      <c r="A16" s="22"/>
      <c r="B16" s="22"/>
      <c r="C16" s="26"/>
      <c r="D16" s="26"/>
      <c r="E16" s="18"/>
      <c r="F16" s="18"/>
      <c r="G16" s="18"/>
      <c r="H16" s="18"/>
      <c r="I16" s="18"/>
      <c r="J16" s="18"/>
      <c r="K16" s="18"/>
    </row>
    <row r="17" spans="1:11" ht="16.5" thickBot="1" x14ac:dyDescent="0.3">
      <c r="A17" s="17" t="s">
        <v>112</v>
      </c>
      <c r="C17" s="28"/>
      <c r="D17" s="28"/>
      <c r="E17" s="18"/>
      <c r="F17" s="18"/>
      <c r="G17" s="18"/>
      <c r="H17" s="18"/>
      <c r="I17" s="18"/>
      <c r="J17" s="18"/>
      <c r="K17" s="18"/>
    </row>
    <row r="18" spans="1:11" ht="12.75" x14ac:dyDescent="0.2">
      <c r="A18" s="464" t="s">
        <v>89</v>
      </c>
      <c r="B18" s="50"/>
      <c r="C18" s="51"/>
      <c r="D18" s="52"/>
      <c r="E18" s="37"/>
      <c r="F18" s="37"/>
      <c r="G18" s="37"/>
      <c r="H18" s="37"/>
      <c r="I18" s="37"/>
      <c r="J18" s="37"/>
      <c r="K18" s="38"/>
    </row>
    <row r="19" spans="1:11" ht="13.5" thickBot="1" x14ac:dyDescent="0.25">
      <c r="A19" s="459"/>
      <c r="B19" s="33" t="s">
        <v>46</v>
      </c>
      <c r="C19" s="39">
        <v>24.3</v>
      </c>
      <c r="D19" s="24">
        <v>1.87</v>
      </c>
      <c r="E19" s="256">
        <f>+C19*D19</f>
        <v>45.441000000000003</v>
      </c>
      <c r="F19" s="41">
        <v>166</v>
      </c>
      <c r="G19" s="41">
        <v>84</v>
      </c>
      <c r="H19" s="41">
        <v>3.04E-2</v>
      </c>
      <c r="I19" s="41">
        <v>6.25</v>
      </c>
      <c r="J19" s="255">
        <f>+(E19*F19/1000*G19/100)/I19-C19*H19</f>
        <v>0.27508688640000001</v>
      </c>
      <c r="K19" s="42">
        <v>0.13300000000000001</v>
      </c>
    </row>
    <row r="20" spans="1:11" ht="12.75" x14ac:dyDescent="0.2">
      <c r="A20" s="11" t="s">
        <v>90</v>
      </c>
      <c r="B20" s="21"/>
      <c r="C20" s="43"/>
      <c r="D20" s="25"/>
      <c r="E20" s="41"/>
      <c r="F20" s="41"/>
      <c r="G20" s="41"/>
      <c r="H20" s="41"/>
      <c r="I20" s="41"/>
      <c r="J20" s="255"/>
      <c r="K20" s="42"/>
    </row>
    <row r="21" spans="1:11" ht="13.5" thickBot="1" x14ac:dyDescent="0.25">
      <c r="A21" s="9" t="s">
        <v>91</v>
      </c>
      <c r="B21" s="34" t="s">
        <v>46</v>
      </c>
      <c r="C21" s="39">
        <v>24.3</v>
      </c>
      <c r="D21" s="24">
        <v>1.87</v>
      </c>
      <c r="E21" s="256">
        <f>+C21*D21</f>
        <v>45.441000000000003</v>
      </c>
      <c r="F21" s="41">
        <v>166</v>
      </c>
      <c r="G21" s="41">
        <v>84</v>
      </c>
      <c r="H21" s="41">
        <v>3.04E-2</v>
      </c>
      <c r="I21" s="41">
        <v>6.25</v>
      </c>
      <c r="J21" s="255">
        <f t="shared" ref="J21:J25" si="2">+(E21*F21/1000*G21/100)/I21-C21*H21</f>
        <v>0.27508688640000001</v>
      </c>
      <c r="K21" s="42">
        <v>0.13300000000000001</v>
      </c>
    </row>
    <row r="22" spans="1:11" ht="12.75" x14ac:dyDescent="0.2">
      <c r="A22" s="462" t="s">
        <v>73</v>
      </c>
      <c r="B22" s="20" t="s">
        <v>78</v>
      </c>
      <c r="C22" s="39"/>
      <c r="D22" s="24"/>
      <c r="E22" s="41"/>
      <c r="F22" s="41"/>
      <c r="G22" s="41"/>
      <c r="H22" s="41"/>
      <c r="I22" s="41"/>
      <c r="J22" s="255"/>
      <c r="K22" s="42">
        <v>1.7999999999999999E-2</v>
      </c>
    </row>
    <row r="23" spans="1:11" ht="13.5" thickBot="1" x14ac:dyDescent="0.25">
      <c r="A23" s="463"/>
      <c r="B23" s="33" t="s">
        <v>80</v>
      </c>
      <c r="C23" s="39">
        <v>24.3</v>
      </c>
      <c r="D23" s="24">
        <v>1.87</v>
      </c>
      <c r="E23" s="256">
        <f>+C23*D23</f>
        <v>45.441000000000003</v>
      </c>
      <c r="F23" s="41">
        <v>166</v>
      </c>
      <c r="G23" s="41">
        <v>84</v>
      </c>
      <c r="H23" s="41">
        <v>3.04E-2</v>
      </c>
      <c r="I23" s="41">
        <v>6.25</v>
      </c>
      <c r="J23" s="255">
        <f t="shared" si="2"/>
        <v>0.27508688640000001</v>
      </c>
      <c r="K23" s="42">
        <v>7.1999999999999995E-2</v>
      </c>
    </row>
    <row r="24" spans="1:11" ht="12.75" x14ac:dyDescent="0.2">
      <c r="A24" s="460" t="s">
        <v>47</v>
      </c>
      <c r="B24" s="23"/>
      <c r="C24" s="46"/>
      <c r="D24" s="27"/>
      <c r="E24" s="41"/>
      <c r="F24" s="41"/>
      <c r="G24" s="41"/>
      <c r="H24" s="41"/>
      <c r="I24" s="41"/>
      <c r="J24" s="255"/>
      <c r="K24" s="42"/>
    </row>
    <row r="25" spans="1:11" ht="13.5" thickBot="1" x14ac:dyDescent="0.25">
      <c r="A25" s="461"/>
      <c r="B25" s="34" t="s">
        <v>47</v>
      </c>
      <c r="C25" s="53">
        <v>24.3</v>
      </c>
      <c r="D25" s="54">
        <v>1.87</v>
      </c>
      <c r="E25" s="257">
        <f>+C25*D25</f>
        <v>45.441000000000003</v>
      </c>
      <c r="F25" s="225">
        <v>166</v>
      </c>
      <c r="G25" s="225">
        <v>84</v>
      </c>
      <c r="H25" s="225">
        <v>3.04E-2</v>
      </c>
      <c r="I25" s="225">
        <v>6.25</v>
      </c>
      <c r="J25" s="344">
        <f t="shared" si="2"/>
        <v>0.27508688640000001</v>
      </c>
      <c r="K25" s="49">
        <v>2.5999999999999999E-2</v>
      </c>
    </row>
    <row r="26" spans="1:11" ht="12.75" x14ac:dyDescent="0.2">
      <c r="A26" s="22"/>
      <c r="B26" s="22"/>
      <c r="C26" s="26"/>
      <c r="D26" s="26"/>
      <c r="E26" s="18"/>
      <c r="F26" s="18"/>
      <c r="G26" s="18"/>
      <c r="H26" s="18"/>
      <c r="I26" s="18"/>
      <c r="J26" s="18"/>
      <c r="K26" s="18"/>
    </row>
    <row r="27" spans="1:11" ht="12.75" x14ac:dyDescent="0.2">
      <c r="A27" s="22" t="s">
        <v>376</v>
      </c>
      <c r="B27" s="22"/>
      <c r="C27" s="26"/>
      <c r="D27" s="26"/>
      <c r="E27" s="18"/>
      <c r="F27" s="18"/>
      <c r="G27" s="18"/>
      <c r="H27" s="18"/>
      <c r="I27" s="18"/>
      <c r="J27" s="18"/>
      <c r="K27" s="18"/>
    </row>
    <row r="28" spans="1:11" ht="12.75" x14ac:dyDescent="0.2">
      <c r="A28" s="22"/>
      <c r="B28" s="22"/>
      <c r="C28" s="26"/>
      <c r="D28" s="26"/>
      <c r="E28" s="18"/>
      <c r="F28" s="18"/>
      <c r="G28" s="18"/>
      <c r="H28" s="18"/>
      <c r="I28" s="18"/>
      <c r="J28" s="18"/>
      <c r="K28" s="18"/>
    </row>
    <row r="29" spans="1:11" ht="15.75" x14ac:dyDescent="0.25">
      <c r="A29" s="2"/>
      <c r="C29" s="28"/>
      <c r="D29" s="28"/>
      <c r="E29" s="18"/>
      <c r="F29" s="18"/>
      <c r="G29" s="18"/>
      <c r="H29" s="18"/>
      <c r="I29" s="18"/>
      <c r="J29" s="18"/>
      <c r="K29" s="18"/>
    </row>
    <row r="30" spans="1:11" ht="16.5" thickBot="1" x14ac:dyDescent="0.3">
      <c r="A30" s="2" t="s">
        <v>109</v>
      </c>
      <c r="C30" s="28"/>
      <c r="D30" s="28"/>
      <c r="E30" s="18"/>
      <c r="F30" s="18"/>
      <c r="G30" s="18"/>
      <c r="H30" s="18"/>
      <c r="I30" s="18"/>
      <c r="J30" s="18"/>
      <c r="K30" s="18"/>
    </row>
    <row r="31" spans="1:11" ht="47.25" customHeight="1" thickBot="1" x14ac:dyDescent="0.25">
      <c r="A31" s="88" t="s">
        <v>101</v>
      </c>
      <c r="B31" s="89"/>
      <c r="C31" s="415"/>
      <c r="D31" s="415" t="s">
        <v>103</v>
      </c>
      <c r="E31" s="113" t="s">
        <v>92</v>
      </c>
      <c r="F31" s="113" t="s">
        <v>95</v>
      </c>
      <c r="G31" s="113" t="s">
        <v>96</v>
      </c>
      <c r="H31" s="91" t="s">
        <v>169</v>
      </c>
      <c r="I31" s="259" t="s">
        <v>374</v>
      </c>
      <c r="J31" s="259" t="s">
        <v>375</v>
      </c>
      <c r="K31" s="113" t="s">
        <v>93</v>
      </c>
    </row>
    <row r="32" spans="1:11" ht="12.75" x14ac:dyDescent="0.2">
      <c r="A32" s="458" t="s">
        <v>76</v>
      </c>
      <c r="B32" s="90"/>
      <c r="C32" s="51"/>
      <c r="D32" s="52"/>
      <c r="E32" s="37"/>
      <c r="F32" s="37"/>
      <c r="G32" s="37"/>
      <c r="H32" s="416" t="s">
        <v>171</v>
      </c>
      <c r="I32" s="416"/>
      <c r="J32" s="416"/>
      <c r="K32" s="38"/>
    </row>
    <row r="33" spans="1:11" ht="13.5" thickBot="1" x14ac:dyDescent="0.25">
      <c r="A33" s="459"/>
      <c r="B33" s="33" t="s">
        <v>46</v>
      </c>
      <c r="C33" s="39"/>
      <c r="D33" s="24">
        <v>70</v>
      </c>
      <c r="E33" s="41">
        <v>1492</v>
      </c>
      <c r="F33" s="41">
        <v>133.5</v>
      </c>
      <c r="G33" s="41">
        <v>80</v>
      </c>
      <c r="H33" s="41">
        <v>1.98</v>
      </c>
      <c r="I33" s="41">
        <v>6.25</v>
      </c>
      <c r="J33" s="45">
        <f>'Normtal økologi'!J19+(E33*D33/100*G33/100*F33/1000)/6.25-(33.2*6.7*0.02567)*D33/100-1.98*0.7</f>
        <v>22.695516440000002</v>
      </c>
      <c r="K33" s="42">
        <v>3.98</v>
      </c>
    </row>
    <row r="34" spans="1:11" ht="25.5" customHeight="1" x14ac:dyDescent="0.2">
      <c r="A34" s="11" t="s">
        <v>77</v>
      </c>
      <c r="B34" s="22" t="s">
        <v>78</v>
      </c>
      <c r="C34" s="44"/>
      <c r="D34" s="26"/>
      <c r="E34" s="41"/>
      <c r="F34" s="41"/>
      <c r="G34" s="41"/>
      <c r="H34" s="41"/>
      <c r="I34" s="41"/>
      <c r="J34" s="45"/>
      <c r="K34" s="42">
        <v>0.52</v>
      </c>
    </row>
    <row r="35" spans="1:11" ht="13.5" thickBot="1" x14ac:dyDescent="0.25">
      <c r="A35" s="9" t="s">
        <v>79</v>
      </c>
      <c r="B35" s="34" t="s">
        <v>80</v>
      </c>
      <c r="C35" s="44"/>
      <c r="D35" s="26">
        <v>70</v>
      </c>
      <c r="E35" s="41">
        <v>1492</v>
      </c>
      <c r="F35" s="41">
        <v>133.5</v>
      </c>
      <c r="G35" s="41">
        <v>80</v>
      </c>
      <c r="H35" s="41">
        <v>1.98</v>
      </c>
      <c r="I35" s="41">
        <v>6.25</v>
      </c>
      <c r="J35" s="45">
        <f t="shared" ref="J35:J41" si="3">+(E35*D35/100*G35/100*F35/1000)/6.25-(33.2*6.7*0.02567)*D35/100-1.98*0.7</f>
        <v>12.463682840000001</v>
      </c>
      <c r="K35" s="42">
        <v>1.74</v>
      </c>
    </row>
    <row r="36" spans="1:11" ht="25.5" customHeight="1" x14ac:dyDescent="0.2">
      <c r="A36" s="12" t="s">
        <v>81</v>
      </c>
      <c r="B36" s="20" t="s">
        <v>47</v>
      </c>
      <c r="C36" s="39"/>
      <c r="D36" s="24"/>
      <c r="E36" s="41"/>
      <c r="F36" s="41"/>
      <c r="G36" s="41"/>
      <c r="H36" s="41"/>
      <c r="I36" s="41"/>
      <c r="J36" s="45"/>
      <c r="K36" s="42">
        <v>0.67</v>
      </c>
    </row>
    <row r="37" spans="1:11" ht="13.5" thickBot="1" x14ac:dyDescent="0.25">
      <c r="A37" s="10" t="s">
        <v>82</v>
      </c>
      <c r="B37" s="33" t="s">
        <v>46</v>
      </c>
      <c r="C37" s="39"/>
      <c r="D37" s="24">
        <v>70</v>
      </c>
      <c r="E37" s="41">
        <v>1492</v>
      </c>
      <c r="F37" s="41">
        <v>133.5</v>
      </c>
      <c r="G37" s="41">
        <v>80</v>
      </c>
      <c r="H37" s="41">
        <v>1.98</v>
      </c>
      <c r="I37" s="41">
        <v>6.25</v>
      </c>
      <c r="J37" s="45">
        <f t="shared" si="3"/>
        <v>12.463682840000001</v>
      </c>
      <c r="K37" s="42">
        <v>2.1800000000000002</v>
      </c>
    </row>
    <row r="38" spans="1:11" ht="25.5" customHeight="1" x14ac:dyDescent="0.2">
      <c r="A38" s="11" t="s">
        <v>81</v>
      </c>
      <c r="B38" s="22" t="s">
        <v>47</v>
      </c>
      <c r="C38" s="44"/>
      <c r="D38" s="26"/>
      <c r="E38" s="41"/>
      <c r="F38" s="41"/>
      <c r="G38" s="41"/>
      <c r="H38" s="41"/>
      <c r="I38" s="41"/>
      <c r="J38" s="45"/>
      <c r="K38" s="42">
        <v>0.67</v>
      </c>
    </row>
    <row r="39" spans="1:11" ht="13.5" thickBot="1" x14ac:dyDescent="0.25">
      <c r="A39" s="9" t="s">
        <v>79</v>
      </c>
      <c r="B39" s="34" t="s">
        <v>46</v>
      </c>
      <c r="C39" s="44"/>
      <c r="D39" s="26">
        <v>70</v>
      </c>
      <c r="E39" s="41">
        <v>1492</v>
      </c>
      <c r="F39" s="41">
        <v>133.5</v>
      </c>
      <c r="G39" s="41">
        <v>80</v>
      </c>
      <c r="H39" s="41">
        <v>1.98</v>
      </c>
      <c r="I39" s="41">
        <v>6.25</v>
      </c>
      <c r="J39" s="45">
        <f t="shared" si="3"/>
        <v>12.463682840000001</v>
      </c>
      <c r="K39" s="42">
        <v>2.1800000000000002</v>
      </c>
    </row>
    <row r="40" spans="1:11" ht="26.25" customHeight="1" thickBot="1" x14ac:dyDescent="0.25">
      <c r="A40" s="10" t="s">
        <v>83</v>
      </c>
      <c r="B40" s="33" t="s">
        <v>47</v>
      </c>
      <c r="C40" s="39"/>
      <c r="D40" s="24"/>
      <c r="E40" s="41"/>
      <c r="F40" s="41"/>
      <c r="G40" s="41"/>
      <c r="H40" s="41"/>
      <c r="I40" s="41"/>
      <c r="J40" s="45"/>
      <c r="K40" s="42">
        <v>1.78</v>
      </c>
    </row>
    <row r="41" spans="1:11" ht="13.5" thickBot="1" x14ac:dyDescent="0.25">
      <c r="A41" s="9" t="s">
        <v>84</v>
      </c>
      <c r="B41" s="34" t="s">
        <v>46</v>
      </c>
      <c r="C41" s="47"/>
      <c r="D41" s="48">
        <v>70</v>
      </c>
      <c r="E41" s="225">
        <v>1492</v>
      </c>
      <c r="F41" s="225">
        <v>133.5</v>
      </c>
      <c r="G41" s="225">
        <v>80</v>
      </c>
      <c r="H41" s="225">
        <v>1.98</v>
      </c>
      <c r="I41" s="225">
        <v>6.25</v>
      </c>
      <c r="J41" s="412">
        <f t="shared" si="3"/>
        <v>12.463682840000001</v>
      </c>
      <c r="K41" s="49">
        <v>4.7</v>
      </c>
    </row>
    <row r="42" spans="1:11" x14ac:dyDescent="0.2">
      <c r="C42" s="28"/>
      <c r="D42" s="28"/>
      <c r="E42" s="18"/>
      <c r="F42" s="18"/>
      <c r="G42" s="18"/>
      <c r="H42" s="18"/>
      <c r="I42" s="18"/>
      <c r="J42" s="45"/>
      <c r="K42" s="18"/>
    </row>
    <row r="43" spans="1:11" x14ac:dyDescent="0.2">
      <c r="C43" s="28"/>
      <c r="D43" s="28"/>
      <c r="E43" s="18"/>
      <c r="F43" s="18"/>
      <c r="G43" s="18"/>
      <c r="H43" s="18"/>
      <c r="I43" s="18"/>
      <c r="J43" s="45"/>
      <c r="K43" s="18"/>
    </row>
    <row r="44" spans="1:11" x14ac:dyDescent="0.2">
      <c r="C44" s="28"/>
      <c r="D44" s="28"/>
      <c r="E44" s="18"/>
      <c r="F44" s="18"/>
      <c r="G44" s="18"/>
      <c r="H44" s="18"/>
      <c r="I44" s="18"/>
      <c r="J44" s="45"/>
      <c r="K44" s="18"/>
    </row>
    <row r="45" spans="1:11" ht="16.5" thickBot="1" x14ac:dyDescent="0.25">
      <c r="A45" s="16" t="s">
        <v>100</v>
      </c>
      <c r="C45" s="28"/>
      <c r="D45" s="28"/>
      <c r="E45" s="18"/>
      <c r="F45" s="18"/>
      <c r="G45" s="18"/>
      <c r="H45" s="18"/>
      <c r="I45" s="18"/>
      <c r="J45" s="45"/>
      <c r="K45" s="18"/>
    </row>
    <row r="46" spans="1:11" ht="12.75" x14ac:dyDescent="0.2">
      <c r="A46" s="464" t="s">
        <v>85</v>
      </c>
      <c r="B46" s="92"/>
      <c r="C46" s="417"/>
      <c r="D46" s="418"/>
      <c r="E46" s="37"/>
      <c r="F46" s="37"/>
      <c r="G46" s="37"/>
      <c r="H46" s="37"/>
      <c r="I46" s="37"/>
      <c r="J46" s="411"/>
      <c r="K46" s="38"/>
    </row>
    <row r="47" spans="1:11" ht="13.5" thickBot="1" x14ac:dyDescent="0.25">
      <c r="A47" s="459"/>
      <c r="B47" s="33" t="s">
        <v>46</v>
      </c>
      <c r="C47" s="39"/>
      <c r="D47" s="24">
        <v>30</v>
      </c>
      <c r="E47" s="41">
        <v>1492</v>
      </c>
      <c r="F47" s="41">
        <v>133.5</v>
      </c>
      <c r="G47" s="41">
        <v>80</v>
      </c>
      <c r="H47" s="41">
        <v>1.98</v>
      </c>
      <c r="I47" s="41">
        <v>6.25</v>
      </c>
      <c r="J47" s="45">
        <f>+(E47*D47/100*G47/100*F47/1000)/6.25-(33.2*6.7*0.02567)*D47/100-1.98*0.3</f>
        <v>5.3415783599999989</v>
      </c>
      <c r="K47" s="42">
        <v>1.71</v>
      </c>
    </row>
    <row r="48" spans="1:11" ht="12.75" x14ac:dyDescent="0.2">
      <c r="A48" s="460" t="s">
        <v>86</v>
      </c>
      <c r="B48" s="22"/>
      <c r="C48" s="44"/>
      <c r="D48" s="26"/>
      <c r="E48" s="41"/>
      <c r="F48" s="41"/>
      <c r="G48" s="41"/>
      <c r="H48" s="41"/>
      <c r="I48" s="41"/>
      <c r="J48" s="45"/>
      <c r="K48" s="42"/>
    </row>
    <row r="49" spans="1:11" ht="13.5" thickBot="1" x14ac:dyDescent="0.25">
      <c r="A49" s="461"/>
      <c r="B49" s="34" t="s">
        <v>46</v>
      </c>
      <c r="C49" s="44"/>
      <c r="D49" s="26">
        <v>30</v>
      </c>
      <c r="E49" s="41">
        <v>1492</v>
      </c>
      <c r="F49" s="41">
        <v>133.5</v>
      </c>
      <c r="G49" s="41">
        <v>80</v>
      </c>
      <c r="H49" s="41">
        <v>1.98</v>
      </c>
      <c r="I49" s="41">
        <v>6.25</v>
      </c>
      <c r="J49" s="45">
        <f t="shared" ref="J49:J50" si="4">+(E49*D49/100*G49/100*F49/1000)/6.25-(33.2*6.7*0.02567)*D49/100-1.98*0.3</f>
        <v>5.3415783599999989</v>
      </c>
      <c r="K49" s="42">
        <v>1.71</v>
      </c>
    </row>
    <row r="50" spans="1:11" ht="29.25" thickBot="1" x14ac:dyDescent="0.25">
      <c r="A50" s="10" t="s">
        <v>87</v>
      </c>
      <c r="B50" s="33" t="s">
        <v>88</v>
      </c>
      <c r="C50" s="53"/>
      <c r="D50" s="54">
        <v>30</v>
      </c>
      <c r="E50" s="225">
        <v>1492</v>
      </c>
      <c r="F50" s="225">
        <v>133.5</v>
      </c>
      <c r="G50" s="225">
        <v>80</v>
      </c>
      <c r="H50" s="225">
        <v>1.98</v>
      </c>
      <c r="I50" s="225">
        <v>6.25</v>
      </c>
      <c r="J50" s="412">
        <f t="shared" si="4"/>
        <v>5.3415783599999989</v>
      </c>
      <c r="K50" s="49">
        <v>1.3</v>
      </c>
    </row>
    <row r="51" spans="1:11" x14ac:dyDescent="0.2">
      <c r="C51" s="28"/>
      <c r="D51" s="28"/>
      <c r="E51" s="18"/>
      <c r="F51" s="18"/>
      <c r="G51" s="18"/>
      <c r="H51" s="18"/>
      <c r="I51" s="18"/>
      <c r="J51" s="18"/>
      <c r="K51" s="18"/>
    </row>
    <row r="52" spans="1:11" x14ac:dyDescent="0.2">
      <c r="C52" s="28"/>
      <c r="D52" s="28"/>
      <c r="E52" s="18"/>
      <c r="F52" s="18"/>
      <c r="G52" s="18"/>
      <c r="H52" s="18"/>
      <c r="I52" s="18"/>
      <c r="J52" s="18"/>
      <c r="K52" s="18"/>
    </row>
  </sheetData>
  <mergeCells count="13">
    <mergeCell ref="A46:A47"/>
    <mergeCell ref="A48:A49"/>
    <mergeCell ref="A18:A19"/>
    <mergeCell ref="A22:A23"/>
    <mergeCell ref="A24:A25"/>
    <mergeCell ref="C2:K2"/>
    <mergeCell ref="L12:L13"/>
    <mergeCell ref="A32:A33"/>
    <mergeCell ref="A4:A5"/>
    <mergeCell ref="A6:A7"/>
    <mergeCell ref="A8:A9"/>
    <mergeCell ref="A10:A11"/>
    <mergeCell ref="A14:A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74139-273C-46FC-8FED-C8B5528560ED}">
  <dimension ref="A2:L25"/>
  <sheetViews>
    <sheetView workbookViewId="0">
      <selection activeCell="E31" sqref="E31"/>
    </sheetView>
  </sheetViews>
  <sheetFormatPr defaultRowHeight="12" x14ac:dyDescent="0.2"/>
  <cols>
    <col min="1" max="1" width="48.42578125" customWidth="1"/>
    <col min="2" max="3" width="14.5703125" customWidth="1"/>
    <col min="4" max="4" width="15.28515625" customWidth="1"/>
    <col min="5" max="5" width="11.42578125" customWidth="1"/>
    <col min="6" max="6" width="12.85546875" customWidth="1"/>
    <col min="7" max="7" width="12.5703125" customWidth="1"/>
    <col min="8" max="10" width="13.28515625" customWidth="1"/>
  </cols>
  <sheetData>
    <row r="2" spans="1:10" ht="19.5" thickBot="1" x14ac:dyDescent="0.25">
      <c r="A2" s="73" t="s">
        <v>110</v>
      </c>
      <c r="C2" s="466" t="s">
        <v>202</v>
      </c>
      <c r="D2" s="466"/>
      <c r="E2" s="466"/>
      <c r="F2" s="466"/>
      <c r="G2" s="466"/>
      <c r="H2" s="466"/>
      <c r="I2" s="466"/>
      <c r="J2" s="466"/>
    </row>
    <row r="3" spans="1:10" ht="25.5" thickBot="1" x14ac:dyDescent="0.3">
      <c r="A3" s="56"/>
      <c r="B3" s="57"/>
      <c r="C3" s="56" t="s">
        <v>102</v>
      </c>
      <c r="D3" s="31" t="s">
        <v>28</v>
      </c>
      <c r="E3" s="31" t="s">
        <v>92</v>
      </c>
      <c r="F3" s="31" t="s">
        <v>95</v>
      </c>
      <c r="G3" s="31" t="s">
        <v>96</v>
      </c>
      <c r="H3" s="31" t="s">
        <v>104</v>
      </c>
      <c r="I3" s="31" t="s">
        <v>374</v>
      </c>
      <c r="J3" s="31" t="s">
        <v>375</v>
      </c>
    </row>
    <row r="4" spans="1:10" ht="29.25" thickBot="1" x14ac:dyDescent="0.25">
      <c r="A4" s="15" t="s">
        <v>105</v>
      </c>
      <c r="B4" s="33" t="s">
        <v>88</v>
      </c>
      <c r="C4" s="64">
        <v>82</v>
      </c>
      <c r="D4" s="37">
        <v>2.94</v>
      </c>
      <c r="E4" s="341">
        <f>+C4*D4</f>
        <v>241.07999999999998</v>
      </c>
      <c r="F4" s="37">
        <v>166</v>
      </c>
      <c r="G4" s="37">
        <v>81</v>
      </c>
      <c r="H4" s="37">
        <v>2.9600000000000001E-2</v>
      </c>
      <c r="I4" s="37">
        <v>6.25</v>
      </c>
      <c r="J4" s="411">
        <f>+(E4*F4/1000*G4/100)/I4-C4*H4</f>
        <v>2.7592986880000003</v>
      </c>
    </row>
    <row r="5" spans="1:10" ht="25.5" x14ac:dyDescent="0.2">
      <c r="A5" s="11" t="s">
        <v>106</v>
      </c>
      <c r="B5" s="58"/>
      <c r="C5" s="61"/>
      <c r="D5" s="41"/>
      <c r="E5" s="41"/>
      <c r="F5" s="41"/>
      <c r="G5" s="41"/>
      <c r="H5" s="41"/>
      <c r="I5" s="41"/>
      <c r="J5" s="45"/>
    </row>
    <row r="6" spans="1:10" ht="13.5" thickBot="1" x14ac:dyDescent="0.25">
      <c r="A6" s="13" t="s">
        <v>107</v>
      </c>
      <c r="B6" s="34" t="s">
        <v>46</v>
      </c>
      <c r="C6" s="62">
        <v>82</v>
      </c>
      <c r="D6" s="225">
        <v>2.94</v>
      </c>
      <c r="E6" s="55">
        <f>+C6*D6</f>
        <v>241.07999999999998</v>
      </c>
      <c r="F6" s="225">
        <v>166</v>
      </c>
      <c r="G6" s="225">
        <v>81</v>
      </c>
      <c r="H6" s="225">
        <v>2.9600000000000001E-2</v>
      </c>
      <c r="I6" s="225">
        <v>6.25</v>
      </c>
      <c r="J6" s="412">
        <f t="shared" ref="J6:J16" si="0">+(E6*F6/1000*G6/100)/I6-C6*H6</f>
        <v>2.7592986880000003</v>
      </c>
    </row>
    <row r="7" spans="1:10" ht="12.75" x14ac:dyDescent="0.2">
      <c r="A7" s="462" t="s">
        <v>108</v>
      </c>
      <c r="B7" s="20" t="s">
        <v>47</v>
      </c>
      <c r="C7" s="64"/>
      <c r="D7" s="37"/>
      <c r="E7" s="37"/>
      <c r="F7" s="37"/>
      <c r="G7" s="37"/>
      <c r="H7" s="37"/>
      <c r="I7" s="37"/>
      <c r="J7" s="411"/>
    </row>
    <row r="8" spans="1:10" ht="13.5" thickBot="1" x14ac:dyDescent="0.25">
      <c r="A8" s="463"/>
      <c r="B8" s="33" t="s">
        <v>46</v>
      </c>
      <c r="C8" s="62">
        <v>82</v>
      </c>
      <c r="D8" s="225">
        <v>2.94</v>
      </c>
      <c r="E8" s="55">
        <f>+C8*D8</f>
        <v>241.07999999999998</v>
      </c>
      <c r="F8" s="225">
        <v>166</v>
      </c>
      <c r="G8" s="225">
        <v>81</v>
      </c>
      <c r="H8" s="225">
        <v>2.9600000000000001E-2</v>
      </c>
      <c r="I8" s="225">
        <v>6.25</v>
      </c>
      <c r="J8" s="412">
        <f t="shared" si="0"/>
        <v>2.7592986880000003</v>
      </c>
    </row>
    <row r="9" spans="1:10" x14ac:dyDescent="0.2">
      <c r="J9" s="45"/>
    </row>
    <row r="10" spans="1:10" x14ac:dyDescent="0.2">
      <c r="J10" s="45"/>
    </row>
    <row r="11" spans="1:10" ht="19.5" thickBot="1" x14ac:dyDescent="0.35">
      <c r="A11" s="72" t="s">
        <v>116</v>
      </c>
      <c r="J11" s="45"/>
    </row>
    <row r="12" spans="1:10" ht="29.25" thickBot="1" x14ac:dyDescent="0.25">
      <c r="A12" s="14" t="s">
        <v>105</v>
      </c>
      <c r="B12" s="65" t="s">
        <v>88</v>
      </c>
      <c r="C12" s="413">
        <v>16</v>
      </c>
      <c r="D12" s="118">
        <v>2.11</v>
      </c>
      <c r="E12" s="118">
        <f>+C12*D12</f>
        <v>33.76</v>
      </c>
      <c r="F12" s="118">
        <v>182</v>
      </c>
      <c r="G12" s="118">
        <v>84</v>
      </c>
      <c r="H12" s="118">
        <v>2.9600000000000001E-2</v>
      </c>
      <c r="I12" s="118">
        <v>6.25</v>
      </c>
      <c r="J12" s="414">
        <f t="shared" si="0"/>
        <v>0.35219660799999997</v>
      </c>
    </row>
    <row r="13" spans="1:10" ht="12.75" x14ac:dyDescent="0.2">
      <c r="A13" s="66" t="s">
        <v>113</v>
      </c>
      <c r="B13" s="67" t="s">
        <v>47</v>
      </c>
      <c r="C13" s="64"/>
      <c r="D13" s="37"/>
      <c r="E13" s="37"/>
      <c r="F13" s="37"/>
      <c r="G13" s="37"/>
      <c r="H13" s="37"/>
      <c r="I13" s="37"/>
      <c r="J13" s="411"/>
    </row>
    <row r="14" spans="1:10" ht="13.5" thickBot="1" x14ac:dyDescent="0.25">
      <c r="A14" s="68" t="s">
        <v>114</v>
      </c>
      <c r="B14" s="69" t="s">
        <v>46</v>
      </c>
      <c r="C14" s="62">
        <v>16</v>
      </c>
      <c r="D14" s="225">
        <v>2.11</v>
      </c>
      <c r="E14" s="225">
        <f>+C14*D14</f>
        <v>33.76</v>
      </c>
      <c r="F14" s="225">
        <v>182</v>
      </c>
      <c r="G14" s="225">
        <v>84</v>
      </c>
      <c r="H14" s="225">
        <v>2.9600000000000001E-2</v>
      </c>
      <c r="I14" s="225">
        <v>6.25</v>
      </c>
      <c r="J14" s="412">
        <f t="shared" si="0"/>
        <v>0.35219660799999997</v>
      </c>
    </row>
    <row r="15" spans="1:10" ht="24.75" customHeight="1" x14ac:dyDescent="0.2">
      <c r="A15" s="465" t="s">
        <v>115</v>
      </c>
      <c r="B15" s="63"/>
      <c r="C15" s="64"/>
      <c r="D15" s="37"/>
      <c r="E15" s="37"/>
      <c r="F15" s="37"/>
      <c r="G15" s="37"/>
      <c r="H15" s="37"/>
      <c r="I15" s="37"/>
      <c r="J15" s="411"/>
    </row>
    <row r="16" spans="1:10" ht="13.5" thickBot="1" x14ac:dyDescent="0.25">
      <c r="A16" s="463"/>
      <c r="B16" s="33" t="s">
        <v>46</v>
      </c>
      <c r="C16" s="62">
        <v>16</v>
      </c>
      <c r="D16" s="225">
        <v>2.11</v>
      </c>
      <c r="E16" s="225">
        <f>+C16*D16</f>
        <v>33.76</v>
      </c>
      <c r="F16" s="225">
        <v>182</v>
      </c>
      <c r="G16" s="225">
        <v>84</v>
      </c>
      <c r="H16" s="225">
        <v>2.9600000000000001E-2</v>
      </c>
      <c r="I16" s="225">
        <v>6.25</v>
      </c>
      <c r="J16" s="412">
        <f t="shared" si="0"/>
        <v>0.35219660799999997</v>
      </c>
    </row>
    <row r="17" spans="1:12" ht="12.75" thickBot="1" x14ac:dyDescent="0.25">
      <c r="J17" s="45"/>
    </row>
    <row r="18" spans="1:12" ht="71.25" customHeight="1" thickBot="1" x14ac:dyDescent="0.25">
      <c r="A18" s="93" t="s">
        <v>117</v>
      </c>
      <c r="B18" s="30"/>
      <c r="C18" s="30"/>
      <c r="D18" s="94" t="s">
        <v>103</v>
      </c>
      <c r="E18" s="31" t="s">
        <v>92</v>
      </c>
      <c r="F18" s="31" t="s">
        <v>95</v>
      </c>
      <c r="G18" s="31" t="s">
        <v>96</v>
      </c>
      <c r="H18" s="70" t="s">
        <v>170</v>
      </c>
      <c r="I18" s="31" t="s">
        <v>374</v>
      </c>
      <c r="J18" s="31" t="s">
        <v>375</v>
      </c>
    </row>
    <row r="19" spans="1:12" ht="29.25" thickBot="1" x14ac:dyDescent="0.25">
      <c r="A19" s="86" t="s">
        <v>118</v>
      </c>
      <c r="B19" s="33" t="s">
        <v>88</v>
      </c>
      <c r="C19" s="56"/>
      <c r="D19" s="118">
        <v>50</v>
      </c>
      <c r="E19" s="118">
        <v>1843</v>
      </c>
      <c r="F19" s="118">
        <v>136.80000000000001</v>
      </c>
      <c r="G19" s="118">
        <v>80</v>
      </c>
      <c r="H19" s="70"/>
      <c r="I19" s="70">
        <v>6.25</v>
      </c>
      <c r="J19" s="414">
        <f>+(E19*D19/100*F19/1000/I19*G19/100)-(23.4*15*0.028)*D19/100-1.98*D19/100</f>
        <v>10.231833600000002</v>
      </c>
    </row>
    <row r="20" spans="1:12" ht="12.75" x14ac:dyDescent="0.2">
      <c r="A20" s="11" t="s">
        <v>119</v>
      </c>
      <c r="B20" s="22" t="s">
        <v>47</v>
      </c>
      <c r="C20" s="71"/>
      <c r="D20" s="37"/>
      <c r="E20" s="37"/>
      <c r="F20" s="37"/>
      <c r="G20" s="37"/>
      <c r="H20" s="37">
        <v>1.98</v>
      </c>
      <c r="I20" s="37">
        <v>6.25</v>
      </c>
      <c r="J20" s="411"/>
      <c r="L20" s="96"/>
    </row>
    <row r="21" spans="1:12" ht="13.5" thickBot="1" x14ac:dyDescent="0.25">
      <c r="A21" s="13" t="s">
        <v>120</v>
      </c>
      <c r="B21" s="34" t="s">
        <v>46</v>
      </c>
      <c r="C21" s="59"/>
      <c r="D21" s="41">
        <v>50</v>
      </c>
      <c r="E21" s="41">
        <v>1843</v>
      </c>
      <c r="F21" s="41">
        <v>136.80000000000001</v>
      </c>
      <c r="G21" s="41">
        <v>80</v>
      </c>
      <c r="H21" s="41">
        <v>2.8000000000000001E-2</v>
      </c>
      <c r="I21" s="41">
        <v>6.25</v>
      </c>
      <c r="J21" s="45">
        <f t="shared" ref="J21:J25" si="1">+(E21*D21/100*F21/1000/I21*G21/100)-(23.4*15*0.028)*D21/100-1.98*D21/100</f>
        <v>10.231833600000002</v>
      </c>
    </row>
    <row r="22" spans="1:12" ht="12.75" x14ac:dyDescent="0.2">
      <c r="A22" s="462" t="s">
        <v>121</v>
      </c>
      <c r="B22" s="20" t="s">
        <v>122</v>
      </c>
      <c r="C22" s="59"/>
      <c r="D22" s="41"/>
      <c r="E22" s="41"/>
      <c r="F22" s="41"/>
      <c r="G22" s="41"/>
      <c r="H22" s="41"/>
      <c r="I22" s="41"/>
      <c r="J22" s="45"/>
    </row>
    <row r="23" spans="1:12" ht="16.5" thickBot="1" x14ac:dyDescent="0.25">
      <c r="A23" s="463"/>
      <c r="B23" s="33" t="s">
        <v>123</v>
      </c>
      <c r="C23" s="59"/>
      <c r="D23" s="41">
        <v>50</v>
      </c>
      <c r="E23" s="41">
        <v>1843</v>
      </c>
      <c r="F23" s="41">
        <v>136.80000000000001</v>
      </c>
      <c r="G23" s="41">
        <v>80</v>
      </c>
      <c r="H23" s="41"/>
      <c r="I23" s="41">
        <v>6.25</v>
      </c>
      <c r="J23" s="45">
        <f t="shared" si="1"/>
        <v>10.231833600000002</v>
      </c>
    </row>
    <row r="24" spans="1:12" ht="12.75" x14ac:dyDescent="0.2">
      <c r="A24" s="11" t="s">
        <v>124</v>
      </c>
      <c r="B24" s="23"/>
      <c r="C24" s="59"/>
      <c r="D24" s="41"/>
      <c r="E24" s="41"/>
      <c r="F24" s="41"/>
      <c r="G24" s="41"/>
      <c r="H24" s="41"/>
      <c r="I24" s="41"/>
      <c r="J24" s="45"/>
    </row>
    <row r="25" spans="1:12" ht="13.5" thickBot="1" x14ac:dyDescent="0.25">
      <c r="A25" s="13" t="s">
        <v>125</v>
      </c>
      <c r="B25" s="34" t="s">
        <v>46</v>
      </c>
      <c r="C25" s="60"/>
      <c r="D25" s="225">
        <v>50</v>
      </c>
      <c r="E25" s="225">
        <v>1843</v>
      </c>
      <c r="F25" s="225">
        <v>136.80000000000001</v>
      </c>
      <c r="G25" s="225">
        <v>80</v>
      </c>
      <c r="H25" s="225"/>
      <c r="I25" s="225">
        <v>6.25</v>
      </c>
      <c r="J25" s="412">
        <f t="shared" si="1"/>
        <v>10.231833600000002</v>
      </c>
    </row>
  </sheetData>
  <mergeCells count="4">
    <mergeCell ref="A7:A8"/>
    <mergeCell ref="A15:A16"/>
    <mergeCell ref="A22:A23"/>
    <mergeCell ref="C2:J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Set Item Permission, based on rettighedsgruppe</Name>
    <Synchronization>Asynchronous</Synchronization>
    <Type>10001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Set Item Permission, based on rettighedsgruppe</Name>
    <Synchronization>Asynchronous</Synchronization>
    <Type>10002</Type>
    <SequenceNumber>1010</SequenceNumber>
    <Assembly>DAAS.WebInfo.Common, Version=1.0.0.0, Culture=neutral, PublicKeyToken=f192aeb827ef4bcc</Assembly>
    <Class>DAAS.WebInfo.Common.EventReceivers.RightsGroupItemEventReceiver</Class>
    <Data/>
    <Filter/>
  </Receiver>
  <Receiver>
    <Name>WebInfo Content Page Event</Name>
    <Synchronization>Synchronous</Synchronization>
    <Type>1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Synchronous</Synchronization>
    <Type>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  <Receiver>
    <Name>WebInfo Content Page Event</Name>
    <Synchronization>Asynchronous</Synchronization>
    <Type>10002</Type>
    <SequenceNumber>1030</SequenceNumber>
    <Assembly>DAAS.WebInfo.Common, Version=1.0.0.0, Culture=neutral, PublicKeyToken=f192aeb827ef4bcc</Assembly>
    <Class>DAAS.WebInfo.Common.EventReceivers.WebInfoContentPageEventReceiver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Landbrugsinfo Binær Fil" ma:contentTypeID="0x010100C568DB52D9D0A14D9B2FDCC96666E9F2007948130EC3DB064584E219954237AF3900242457EFB8B24247815D688C526CD44D00C26A9DBCB02B5C4DA1F017B836C045C00060750ADE2E6249BABB5C6118FC133DE800AF2E6DC7107240CAAE62CB7A7C0C310000CFF3D82972A55942AC5679D1ECC35AE6" ma:contentTypeVersion="97" ma:contentTypeDescription="Contenttype til binære filer der bliver publiceret på Landbrugsinfo" ma:contentTypeScope="" ma:versionID="da93e090490850f78618bfcd8e3ef85f">
  <xsd:schema xmlns:xsd="http://www.w3.org/2001/XMLSchema" xmlns:xs="http://www.w3.org/2001/XMLSchema" xmlns:p="http://schemas.microsoft.com/office/2006/metadata/properties" xmlns:ns1="http://schemas.microsoft.com/sharepoint/v3" xmlns:ns2="3f8883b8-a613-49b8-9e7a-815b7776ebd6" xmlns:ns3="5aa14257-579e-4a1f-bbbb-3c8dd7393476" xmlns:ns4="303eeafb-7dff-46db-9396-e9c651f530ea" targetNamespace="http://schemas.microsoft.com/office/2006/metadata/properties" ma:root="true" ma:fieldsID="4cf4ac8dd2ab433885a85a1ceec7bcbb" ns1:_="" ns2:_="" ns3:_="" ns4:_="">
    <xsd:import namespace="http://schemas.microsoft.com/sharepoint/v3"/>
    <xsd:import namespace="3f8883b8-a613-49b8-9e7a-815b7776ebd6"/>
    <xsd:import namespace="5aa14257-579e-4a1f-bbbb-3c8dd7393476"/>
    <xsd:import namespace="303eeafb-7dff-46db-9396-e9c651f530ea"/>
    <xsd:element name="properties">
      <xsd:complexType>
        <xsd:sequence>
          <xsd:element name="documentManagement">
            <xsd:complexType>
              <xsd:all>
                <xsd:element ref="ns1:Comments" minOccurs="0"/>
                <xsd:element ref="ns1:PublishingStartDate" minOccurs="0"/>
                <xsd:element ref="ns1:PublishingExpirationDate" minOccurs="0"/>
                <xsd:element ref="ns1:PublishingContact" minOccurs="0"/>
                <xsd:element ref="ns1:PublishingContactEmail" minOccurs="0"/>
                <xsd:element ref="ns1:PublishingContactName" minOccurs="0"/>
                <xsd:element ref="ns1:PublishingContactPicture" minOccurs="0"/>
                <xsd:element ref="ns1:PublishingPageLayout" minOccurs="0"/>
                <xsd:element ref="ns1:PublishingVariationGroupID" minOccurs="0"/>
                <xsd:element ref="ns1:PublishingVariationRelationshipLinkFieldID" minOccurs="0"/>
                <xsd:element ref="ns1:PublishingRollupImage" minOccurs="0"/>
                <xsd:element ref="ns1:Audience" minOccurs="0"/>
                <xsd:element ref="ns1:PublishingPageImage" minOccurs="0"/>
                <xsd:element ref="ns1:PublishingPageContent" minOccurs="0"/>
                <xsd:element ref="ns1:SummaryLinks" minOccurs="0"/>
                <xsd:element ref="ns1:ArticleByLine" minOccurs="0"/>
                <xsd:element ref="ns1:ArticleStartDate" minOccurs="0"/>
                <xsd:element ref="ns1:PublishingImageCaption" minOccurs="0"/>
                <xsd:element ref="ns1:HeaderStyleDefinitions" minOccurs="0"/>
                <xsd:element ref="ns2:Ansvarligafdeling" minOccurs="0"/>
                <xsd:element ref="ns3:Forfattere" minOccurs="0"/>
                <xsd:element ref="ns2:Rettighedsgruppe"/>
                <xsd:element ref="ns3:Listekode" minOccurs="0"/>
                <xsd:element ref="ns3:Nummer" minOccurs="0"/>
                <xsd:element ref="ns3:Noegleord" minOccurs="0"/>
                <xsd:element ref="ns3:Informationsserie" minOccurs="0"/>
                <xsd:element ref="ns3:Bekraeftelsesdato" minOccurs="0"/>
                <xsd:element ref="ns3:Revisionsdato" minOccurs="0"/>
                <xsd:element ref="ns2:Afsender" minOccurs="0"/>
                <xsd:element ref="ns2:Arkiveringsdato"/>
                <xsd:element ref="ns2:Ingen_x0020_besked_x0020_ved_x0020_arkivering" minOccurs="0"/>
                <xsd:element ref="ns2:HideInRollups" minOccurs="0"/>
                <xsd:element ref="ns2:IsHiddenFromRollup" minOccurs="0"/>
                <xsd:element ref="ns1:DynamicPublishingContent0" minOccurs="0"/>
                <xsd:element ref="ns1:DynamicPublishingContent1" minOccurs="0"/>
                <xsd:element ref="ns1:DynamicPublishingContent2" minOccurs="0"/>
                <xsd:element ref="ns1:DynamicPublishingContent3" minOccurs="0"/>
                <xsd:element ref="ns1:DynamicPublishingContent4" minOccurs="0"/>
                <xsd:element ref="ns1:DynamicPublishingContent5" minOccurs="0"/>
                <xsd:element ref="ns3:Sorteringsorden" minOccurs="0"/>
                <xsd:element ref="ns2:EnclosureFor" minOccurs="0"/>
                <xsd:element ref="ns2:GammelURL" minOccurs="0"/>
                <xsd:element ref="ns2:NetSkabelonValue" minOccurs="0"/>
                <xsd:element ref="ns2:Projekter" minOccurs="0"/>
                <xsd:element ref="ns2:WebInfoSubjects" minOccurs="0"/>
                <xsd:element ref="ns2:HitCount" minOccurs="0"/>
                <xsd:element ref="ns2:PermalinkID" minOccurs="0"/>
                <xsd:element ref="ns2:WebInfoMultiSelect" minOccurs="0"/>
                <xsd:element ref="ns4:_dlc_DocId" minOccurs="0"/>
                <xsd:element ref="ns4:_dlc_DocIdUrl" minOccurs="0"/>
                <xsd:element ref="ns4:_dlc_DocIdPersistId" minOccurs="0"/>
                <xsd:element ref="ns1:DynamicPublishingContent6" minOccurs="0"/>
                <xsd:element ref="ns1:DynamicPublishingContent7" minOccurs="0"/>
                <xsd:element ref="ns1:DynamicPublishingContent8" minOccurs="0"/>
                <xsd:element ref="ns1:DynamicPublishingContent9" minOccurs="0"/>
                <xsd:element ref="ns1:DynamicPublishingContent10" minOccurs="0"/>
                <xsd:element ref="ns1:DynamicPublishingContent11" minOccurs="0"/>
                <xsd:element ref="ns1:DynamicPublishingContent12" minOccurs="0"/>
                <xsd:element ref="ns1:DynamicPublishingContent13" minOccurs="0"/>
                <xsd:element ref="ns1:DynamicPublishingContent14" minOccurs="0"/>
                <xsd:element ref="ns2:TaksonomiTaxHTField0" minOccurs="0"/>
                <xsd:element ref="ns4:TaxCatchAll" minOccurs="0"/>
                <xsd:element ref="ns4:TaxCatchAllLabel" minOccurs="0"/>
                <xsd:element ref="ns2:Bevillingsgivere" minOccurs="0"/>
                <xsd:element ref="ns2:FinanceYear" minOccurs="0"/>
                <xsd:element ref="ns2:WebInfoLawCodes" minOccurs="0"/>
                <xsd:element ref="ns2:Afrapportering" minOccurs="0"/>
                <xsd:element ref="ns3:Kontaktpersoner" minOccurs="0"/>
                <xsd:element ref="ns3:Skribenter" minOccurs="0"/>
                <xsd:element ref="ns2:Projec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Beskrivelse" ma:internalName="Comments">
      <xsd:simpleType>
        <xsd:restriction base="dms:Note">
          <xsd:maxLength value="255"/>
        </xsd:restriction>
      </xsd:simpleType>
    </xsd:element>
    <xsd:element name="PublishingStartDate" ma:index="9" nillable="true" ma:displayName="Startdato for planlægning" ma:internalName="PublishingStartDate">
      <xsd:simpleType>
        <xsd:restriction base="dms:Unknown"/>
      </xsd:simpleType>
    </xsd:element>
    <xsd:element name="PublishingExpirationDate" ma:index="10" nillable="true" ma:displayName="Slutdato for planlægning" ma:internalName="PublishingExpirationDate">
      <xsd:simpleType>
        <xsd:restriction base="dms:Unknown"/>
      </xsd:simpleType>
    </xsd:element>
    <xsd:element name="PublishingContact" ma:index="11" nillable="true" ma:displayName="Kontaktperson" ma:list="UserInfo" ma:internalName="PublishingContac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ublishingContactEmail" ma:index="12" nillable="true" ma:displayName="E-mail-adresse på kontaktperson" ma:internalName="PublishingContactEmail">
      <xsd:simpleType>
        <xsd:restriction base="dms:Text">
          <xsd:maxLength value="255"/>
        </xsd:restriction>
      </xsd:simpleType>
    </xsd:element>
    <xsd:element name="PublishingContactName" ma:index="13" nillable="true" ma:displayName="Navn på kontaktperson" ma:internalName="PublishingContactName">
      <xsd:simpleType>
        <xsd:restriction base="dms:Text">
          <xsd:maxLength value="255"/>
        </xsd:restriction>
      </xsd:simpleType>
    </xsd:element>
    <xsd:element name="PublishingContactPicture" ma:index="14" nillable="true" ma:displayName="Billede af kontaktperson" ma:format="Image" ma:internalName="PublishingContactPictur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PageLayout" ma:index="15" nillable="true" ma:displayName="Sidelayout" ma:internalName="PublishingPageLayout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VariationGroupID" ma:index="16" nillable="true" ma:displayName="Variationsgruppe-id" ma:hidden="true" ma:internalName="PublishingVariationGroupID">
      <xsd:simpleType>
        <xsd:restriction base="dms:Text">
          <xsd:maxLength value="255"/>
        </xsd:restriction>
      </xsd:simpleType>
    </xsd:element>
    <xsd:element name="PublishingVariationRelationshipLinkFieldID" ma:index="17" nillable="true" ma:displayName="Relationshyperlink for variation" ma:hidden="true" ma:internalName="PublishingVariationRelationshipLinkFieldID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RollupImage" ma:index="18" nillable="true" ma:displayName="Opløftningsbillede" ma:internalName="PublishingRollupImage">
      <xsd:simpleType>
        <xsd:restriction base="dms:Unknown"/>
      </xsd:simpleType>
    </xsd:element>
    <xsd:element name="Audience" ma:index="19" nillable="true" ma:displayName="Målgrupper" ma:description="" ma:internalName="Audience">
      <xsd:simpleType>
        <xsd:restriction base="dms:Unknown"/>
      </xsd:simpleType>
    </xsd:element>
    <xsd:element name="PublishingPageImage" ma:index="20" nillable="true" ma:displayName="Sidebillede" ma:internalName="PublishingPageImage">
      <xsd:simpleType>
        <xsd:restriction base="dms:Unknown"/>
      </xsd:simpleType>
    </xsd:element>
    <xsd:element name="PublishingPageContent" ma:index="21" nillable="true" ma:displayName="Sideindhold" ma:internalName="PublishingPageContent">
      <xsd:simpleType>
        <xsd:restriction base="dms:Unknown"/>
      </xsd:simpleType>
    </xsd:element>
    <xsd:element name="SummaryLinks" ma:index="22" nillable="true" ma:displayName="Oversigtshyperlinks" ma:internalName="SummaryLinks">
      <xsd:simpleType>
        <xsd:restriction base="dms:Unknown"/>
      </xsd:simpleType>
    </xsd:element>
    <xsd:element name="ArticleByLine" ma:index="23" nillable="true" ma:displayName="Forfatterlinje" ma:internalName="ArticleByLine">
      <xsd:simpleType>
        <xsd:restriction base="dms:Text">
          <xsd:maxLength value="255"/>
        </xsd:restriction>
      </xsd:simpleType>
    </xsd:element>
    <xsd:element name="ArticleStartDate" ma:index="24" nillable="true" ma:displayName="Artikeldato" ma:format="DateOnly" ma:internalName="ArticleStartDate">
      <xsd:simpleType>
        <xsd:restriction base="dms:DateTime"/>
      </xsd:simpleType>
    </xsd:element>
    <xsd:element name="PublishingImageCaption" ma:index="25" nillable="true" ma:displayName="Billedtekst" ma:internalName="PublishingImageCaption">
      <xsd:simpleType>
        <xsd:restriction base="dms:Unknown"/>
      </xsd:simpleType>
    </xsd:element>
    <xsd:element name="HeaderStyleDefinitions" ma:index="26" nillable="true" ma:displayName="Typografidefinitioner" ma:hidden="true" ma:internalName="HeaderStyleDefinitions">
      <xsd:simpleType>
        <xsd:restriction base="dms:Unknown"/>
      </xsd:simpleType>
    </xsd:element>
    <xsd:element name="DynamicPublishingContent0" ma:index="41" nillable="true" ma:displayName="Dynamisk sideindhold (1)" ma:hidden="true" ma:internalName="DynamicPublishingContent0">
      <xsd:simpleType>
        <xsd:restriction base="dms:Unknown"/>
      </xsd:simpleType>
    </xsd:element>
    <xsd:element name="DynamicPublishingContent1" ma:index="42" nillable="true" ma:displayName="Dynamisk sideindhold (2)" ma:hidden="true" ma:internalName="DynamicPublishingContent1">
      <xsd:simpleType>
        <xsd:restriction base="dms:Unknown"/>
      </xsd:simpleType>
    </xsd:element>
    <xsd:element name="DynamicPublishingContent2" ma:index="43" nillable="true" ma:displayName="Dynamisk sideindhold (3)" ma:hidden="true" ma:internalName="DynamicPublishingContent2">
      <xsd:simpleType>
        <xsd:restriction base="dms:Unknown"/>
      </xsd:simpleType>
    </xsd:element>
    <xsd:element name="DynamicPublishingContent3" ma:index="44" nillable="true" ma:displayName="Dynamisk sideindhold (4)" ma:hidden="true" ma:internalName="DynamicPublishingContent3">
      <xsd:simpleType>
        <xsd:restriction base="dms:Unknown"/>
      </xsd:simpleType>
    </xsd:element>
    <xsd:element name="DynamicPublishingContent4" ma:index="45" nillable="true" ma:displayName="Dynamisk sideindhold (5)" ma:hidden="true" ma:internalName="DynamicPublishingContent4">
      <xsd:simpleType>
        <xsd:restriction base="dms:Unknown"/>
      </xsd:simpleType>
    </xsd:element>
    <xsd:element name="DynamicPublishingContent5" ma:index="46" nillable="true" ma:displayName="Dynamisk sideindhold (6)" ma:hidden="true" ma:internalName="DynamicPublishingContent5">
      <xsd:simpleType>
        <xsd:restriction base="dms:Unknown"/>
      </xsd:simpleType>
    </xsd:element>
    <xsd:element name="DynamicPublishingContent6" ma:index="59" nillable="true" ma:displayName="Dynamisk sideindhold (7)" ma:hidden="true" ma:internalName="DynamicPublishingContent6">
      <xsd:simpleType>
        <xsd:restriction base="dms:Unknown"/>
      </xsd:simpleType>
    </xsd:element>
    <xsd:element name="DynamicPublishingContent7" ma:index="60" nillable="true" ma:displayName="Dynamisk sideindhold (8)" ma:hidden="true" ma:internalName="DynamicPublishingContent7">
      <xsd:simpleType>
        <xsd:restriction base="dms:Unknown"/>
      </xsd:simpleType>
    </xsd:element>
    <xsd:element name="DynamicPublishingContent8" ma:index="61" nillable="true" ma:displayName="Dynamisk sideindhold (9)" ma:hidden="true" ma:internalName="DynamicPublishingContent8">
      <xsd:simpleType>
        <xsd:restriction base="dms:Unknown"/>
      </xsd:simpleType>
    </xsd:element>
    <xsd:element name="DynamicPublishingContent9" ma:index="62" nillable="true" ma:displayName="Dynamisk sideindhold (10)" ma:hidden="true" ma:internalName="DynamicPublishingContent9">
      <xsd:simpleType>
        <xsd:restriction base="dms:Unknown"/>
      </xsd:simpleType>
    </xsd:element>
    <xsd:element name="DynamicPublishingContent10" ma:index="63" nillable="true" ma:displayName="Dynamisk sideindhold (11)" ma:hidden="true" ma:internalName="DynamicPublishingContent10">
      <xsd:simpleType>
        <xsd:restriction base="dms:Unknown"/>
      </xsd:simpleType>
    </xsd:element>
    <xsd:element name="DynamicPublishingContent11" ma:index="64" nillable="true" ma:displayName="Dynamisk sideindhold (12)" ma:hidden="true" ma:internalName="DynamicPublishingContent11">
      <xsd:simpleType>
        <xsd:restriction base="dms:Unknown"/>
      </xsd:simpleType>
    </xsd:element>
    <xsd:element name="DynamicPublishingContent12" ma:index="65" nillable="true" ma:displayName="Dynamisk sideindhold (13)" ma:hidden="true" ma:internalName="DynamicPublishingContent12">
      <xsd:simpleType>
        <xsd:restriction base="dms:Unknown"/>
      </xsd:simpleType>
    </xsd:element>
    <xsd:element name="DynamicPublishingContent13" ma:index="66" nillable="true" ma:displayName="Dynamisk sideindhold (14)" ma:hidden="true" ma:internalName="DynamicPublishingContent13">
      <xsd:simpleType>
        <xsd:restriction base="dms:Unknown"/>
      </xsd:simpleType>
    </xsd:element>
    <xsd:element name="DynamicPublishingContent14" ma:index="67" nillable="true" ma:displayName="Dynamisk sideindhold (15)" ma:hidden="true" ma:internalName="DynamicPublishingContent14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883b8-a613-49b8-9e7a-815b7776ebd6" elementFormDefault="qualified">
    <xsd:import namespace="http://schemas.microsoft.com/office/2006/documentManagement/types"/>
    <xsd:import namespace="http://schemas.microsoft.com/office/infopath/2007/PartnerControls"/>
    <xsd:element name="Ansvarligafdeling" ma:index="27" nillable="true" ma:displayName="Ansvarlig afdeling" ma:list="{2b5a13a3-256c-433f-bc8b-bde4d05df095}" ma:internalName="Ansvarligafdeling" ma:showField="Title" ma:web="{303eeafb-7dff-46db-9396-e9c651f530ea}">
      <xsd:simpleType>
        <xsd:restriction base="dms:Lookup"/>
      </xsd:simpleType>
    </xsd:element>
    <xsd:element name="Rettighedsgruppe" ma:index="29" ma:displayName="Rettighedsgruppe" ma:default="2;#Basis" ma:list="{cd861654-9942-42cc-b4e8-22e2eb33fafe}" ma:internalName="Rettighedsgruppe" ma:readOnly="false" ma:showField="Title" ma:web="{303eeafb-7dff-46db-9396-e9c651f530ea}">
      <xsd:simpleType>
        <xsd:restriction base="dms:Lookup"/>
      </xsd:simpleType>
    </xsd:element>
    <xsd:element name="Afsender" ma:index="36" nillable="true" ma:displayName="Afsender" ma:default="2;#Landscentret" ma:list="{b497b606-9a6f-4593-a3de-acb9bcbea154}" ma:internalName="Afsender" ma:showField="LinkTitleNoMenu" ma:web="{303eeafb-7dff-46db-9396-e9c651f530ea}">
      <xsd:simpleType>
        <xsd:restriction base="dms:Lookup"/>
      </xsd:simpleType>
    </xsd:element>
    <xsd:element name="Arkiveringsdato" ma:index="37" ma:displayName="Arkiveringsdato" ma:format="DateOnly" ma:internalName="Arkiveringsdato">
      <xsd:simpleType>
        <xsd:restriction base="dms:DateTime"/>
      </xsd:simpleType>
    </xsd:element>
    <xsd:element name="Ingen_x0020_besked_x0020_ved_x0020_arkivering" ma:index="38" nillable="true" ma:displayName="Ingen besked ved arkivering" ma:default="0" ma:description="Klik her, for ikke at modtage en besked, når dokumentet når sin udløbsdato" ma:internalName="Ingen_x0020_besked_x0020_ved_x0020_arkivering">
      <xsd:simpleType>
        <xsd:restriction base="dms:Boolean"/>
      </xsd:simpleType>
    </xsd:element>
    <xsd:element name="HideInRollups" ma:index="39" nillable="true" ma:displayName="Skjul i artikellister" ma:default="0" ma:description="Klik her for at skjule siden i artikellister" ma:internalName="HideInRollups">
      <xsd:simpleType>
        <xsd:restriction base="dms:Boolean"/>
      </xsd:simpleType>
    </xsd:element>
    <xsd:element name="IsHiddenFromRollup" ma:index="40" nillable="true" ma:displayName="Skjult i artikellister (system)" ma:decimals="0" ma:default="0" ma:description="Understøtter infrastrukturen" ma:internalName="IsHiddenFromRollup">
      <xsd:simpleType>
        <xsd:restriction base="dms:Number"/>
      </xsd:simpleType>
    </xsd:element>
    <xsd:element name="EnclosureFor" ma:index="48" nillable="true" ma:displayName="Bilag til" ma:description="Peger på bilagets moderdokument" ma:internalName="EnclosureFor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GammelURL" ma:index="49" nillable="true" ma:displayName="Gammel URL" ma:description="Tidligere placering på landbrugsinfo" ma:internalName="GammelURL">
      <xsd:simpleType>
        <xsd:restriction base="dms:Text">
          <xsd:maxLength value="255"/>
        </xsd:restriction>
      </xsd:simpleType>
    </xsd:element>
    <xsd:element name="NetSkabelonValue" ma:index="50" nillable="true" ma:displayName="NetSkabelon værdier" ma:internalName="NetSkabelonValue">
      <xsd:simpleType>
        <xsd:restriction base="dms:Text">
          <xsd:maxLength value="255"/>
        </xsd:restriction>
      </xsd:simpleType>
    </xsd:element>
    <xsd:element name="Projekter" ma:index="51" nillable="true" ma:displayName="Projekter" ma:list="{ecf07d35-95fb-4bda-ad72-e46544058ec2}" ma:internalName="Projekter" ma:showField="LinkTitleNoMenu" ma:web="{303eeafb-7dff-46db-9396-e9c651f530ea}">
      <xsd:simpleType>
        <xsd:restriction base="dms:Unknown"/>
      </xsd:simpleType>
    </xsd:element>
    <xsd:element name="WebInfoSubjects" ma:index="52" nillable="true" ma:displayName="Emneord" ma:description="Knyt emneord til din artikel. Benyttes primært til nyhedsbreve." ma:list="{c1fcffa3-db61-496d-89f0-dea25d970c75}" ma:internalName="WebInfoSubjects" ma:showField="LinkTitleNoMenu" ma:web="{303eeafb-7dff-46db-9396-e9c651f530ea}">
      <xsd:simpleType>
        <xsd:restriction base="dms:Unknown"/>
      </xsd:simpleType>
    </xsd:element>
    <xsd:element name="HitCount" ma:index="53" nillable="true" ma:displayName="HitCount (system)" ma:decimals="0" ma:default="0" ma:description="Antal gange et dokument er set af en bruger" ma:internalName="HitCount" ma:readOnly="false">
      <xsd:simpleType>
        <xsd:restriction base="dms:Number"/>
      </xsd:simpleType>
    </xsd:element>
    <xsd:element name="PermalinkID" ma:index="54" nillable="true" ma:displayName="Permalink ID" ma:description="Unik ID for artiklen som kan benyttes til permalink" ma:hidden="true" ma:internalName="PermalinkID" ma:readOnly="false">
      <xsd:simpleType>
        <xsd:restriction base="dms:Text">
          <xsd:maxLength value="255"/>
        </xsd:restriction>
      </xsd:simpleType>
    </xsd:element>
    <xsd:element name="WebInfoMultiSelect" ma:index="55" nillable="true" ma:displayName="Tilvalg" ma:description="Mulighed for et antal tilvalg gemt i et samlet felt." ma:internalName="WebInfoMultiSelect">
      <xsd:simpleType>
        <xsd:restriction base="dms:Unknown"/>
      </xsd:simpleType>
    </xsd:element>
    <xsd:element name="TaksonomiTaxHTField0" ma:index="68" nillable="true" ma:taxonomy="true" ma:internalName="TaksonomiTaxHTField0" ma:taxonomyFieldName="Taksonomi" ma:displayName="Taksonomi" ma:fieldId="{6e43b4ee-656e-4e6d-875c-6c0fe73b7faf}" ma:taxonomyMulti="true" ma:sspId="2476898c-5e7e-458a-8d26-e528e2e6d5ce" ma:termSetId="65f14c63-6b42-47e9-9739-973b2f9a43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evillingsgivere" ma:index="72" nillable="true" ma:displayName="Bevillingsgivere" ma:list="9ccd692b-b01f-4300-9d4e-b4fb85c2c995" ma:internalName="Bevillingsgivere" ma:showField="LinkTitleNoMenu" ma:web="303eeafb-7dff-46db-9396-e9c651f530ea">
      <xsd:simpleType>
        <xsd:restriction base="dms:Unknown"/>
      </xsd:simpleType>
    </xsd:element>
    <xsd:element name="FinanceYear" ma:index="73" nillable="true" ma:displayName="Bevillingsår" ma:decimals="0" ma:internalName="FinanceYear">
      <xsd:simpleType>
        <xsd:restriction base="dms:Number"/>
      </xsd:simpleType>
    </xsd:element>
    <xsd:element name="WebInfoLawCodes" ma:index="74" nillable="true" ma:displayName="Lovkoder" ma:description="Knyt lovkoder til din artikel." ma:list="{908f6eb6-a66b-478a-a99e-d2541dc092be}" ma:internalName="WebInfoLawCodes" ma:showField="LinkTitleNoMenu" ma:web="{303eeafb-7dff-46db-9396-e9c651f530ea}">
      <xsd:simpleType>
        <xsd:restriction base="dms:Unknown"/>
      </xsd:simpleType>
    </xsd:element>
    <xsd:element name="Afrapportering" ma:index="75" nillable="true" ma:displayName="Afrapportering" ma:list="{126d356a-4f5c-4bbb-91a6-e07af1934e19}" ma:internalName="Afrapportering" ma:showField="LinkTitleNoMenu" ma:web="{303eeafb-7dff-46db-9396-e9c651f530ea}">
      <xsd:simpleType>
        <xsd:restriction base="dms:Unknown"/>
      </xsd:simpleType>
    </xsd:element>
    <xsd:element name="ProjectID" ma:index="78" nillable="true" ma:displayName="ProjectID (system)" ma:internalName="Project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a14257-579e-4a1f-bbbb-3c8dd7393476" elementFormDefault="qualified">
    <xsd:import namespace="http://schemas.microsoft.com/office/2006/documentManagement/types"/>
    <xsd:import namespace="http://schemas.microsoft.com/office/infopath/2007/PartnerControls"/>
    <xsd:element name="Forfattere" ma:index="28" nillable="true" ma:displayName="Forfattere" ma:list="UserInfo" ma:SharePointGroup="0" ma:internalName="Forfattere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istekode" ma:index="30" nillable="true" ma:displayName="Listekode" ma:internalName="Listekode">
      <xsd:simpleType>
        <xsd:restriction base="dms:Text">
          <xsd:maxLength value="255"/>
        </xsd:restriction>
      </xsd:simpleType>
    </xsd:element>
    <xsd:element name="Nummer" ma:index="31" nillable="true" ma:displayName="Nummer" ma:internalName="Nummer">
      <xsd:simpleType>
        <xsd:restriction base="dms:Text">
          <xsd:maxLength value="255"/>
        </xsd:restriction>
      </xsd:simpleType>
    </xsd:element>
    <xsd:element name="Noegleord" ma:index="32" nillable="true" ma:displayName="Nøgleord" ma:internalName="Noegleord">
      <xsd:simpleType>
        <xsd:restriction base="dms:Text">
          <xsd:maxLength value="255"/>
        </xsd:restriction>
      </xsd:simpleType>
    </xsd:element>
    <xsd:element name="Informationsserie" ma:index="33" nillable="true" ma:displayName="Historisk informationsserie" ma:internalName="Informationsserie">
      <xsd:simpleType>
        <xsd:restriction base="dms:Text">
          <xsd:maxLength value="255"/>
        </xsd:restriction>
      </xsd:simpleType>
    </xsd:element>
    <xsd:element name="Bekraeftelsesdato" ma:index="34" nillable="true" ma:displayName="Bekræftelsesdato" ma:format="DateTime" ma:internalName="Bekraeftelsesdato">
      <xsd:simpleType>
        <xsd:restriction base="dms:DateTime"/>
      </xsd:simpleType>
    </xsd:element>
    <xsd:element name="Revisionsdato" ma:index="35" nillable="true" ma:displayName="Revisionsdato" ma:format="DateTime" ma:internalName="Revisionsdato">
      <xsd:simpleType>
        <xsd:restriction base="dms:DateTime"/>
      </xsd:simpleType>
    </xsd:element>
    <xsd:element name="Sorteringsorden" ma:index="47" nillable="true" ma:displayName="Sorteringsorden" ma:decimals="0" ma:internalName="Sorteringsorden">
      <xsd:simpleType>
        <xsd:restriction base="dms:Number"/>
      </xsd:simpleType>
    </xsd:element>
    <xsd:element name="Kontaktpersoner" ma:index="76" nillable="true" ma:displayName="Kontaktpersoner" ma:list="UserInfo" ma:SharePointGroup="0" ma:internalName="Kontaktperson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kribenter" ma:index="77" nillable="true" ma:displayName="Skribenter" ma:list="UserInfo" ma:SharePointGroup="0" ma:internalName="Skribenter" ma:showField="Titl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3eeafb-7dff-46db-9396-e9c651f530ea" elementFormDefault="qualified">
    <xsd:import namespace="http://schemas.microsoft.com/office/2006/documentManagement/types"/>
    <xsd:import namespace="http://schemas.microsoft.com/office/infopath/2007/PartnerControls"/>
    <xsd:element name="_dlc_DocId" ma:index="56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57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5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69" nillable="true" ma:displayName="Taxonomy Catch All Column" ma:description="" ma:hidden="true" ma:list="{00a11604-cdb1-438d-8b4c-a208f6918db7}" ma:internalName="TaxCatchAll" ma:showField="CatchAllData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0" nillable="true" ma:displayName="Taxonomy Catch All Column1" ma:description="" ma:hidden="true" ma:list="{00a11604-cdb1-438d-8b4c-a208f6918db7}" ma:internalName="TaxCatchAllLabel" ma:readOnly="true" ma:showField="CatchAllDataLabel" ma:web="303eeafb-7dff-46db-9396-e9c651f530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Contact xmlns="http://schemas.microsoft.com/sharepoint/v3">
      <UserInfo>
        <DisplayName/>
        <AccountId xsi:nil="true"/>
        <AccountType/>
      </UserInfo>
    </PublishingContact>
    <PermalinkID xmlns="3f8883b8-a613-49b8-9e7a-815b7776ebd6">d60e5f4e-8bad-45be-87f0-db6779f4acb3</PermalinkID>
    <Revisionsdato xmlns="5aa14257-579e-4a1f-bbbb-3c8dd7393476">2021-01-21T08:48:00+00:00</Revisionsdato>
    <Noegleord xmlns="5aa14257-579e-4a1f-bbbb-3c8dd7393476" xsi:nil="true"/>
    <DynamicPublishingContent14 xmlns="http://schemas.microsoft.com/sharepoint/v3" xsi:nil="true"/>
    <TaksonomiTaxHTField0 xmlns="3f8883b8-a613-49b8-9e7a-815b7776ebd6">
      <Terms xmlns="http://schemas.microsoft.com/office/infopath/2007/PartnerControls"/>
    </TaksonomiTaxHTField0>
    <PublishingRollupImage xmlns="http://schemas.microsoft.com/sharepoint/v3" xsi:nil="true"/>
    <ArticleStartDate xmlns="http://schemas.microsoft.com/sharepoint/v3">2021-01-21T23:00:00+00:00</ArticleStartDate>
    <DynamicPublishingContent6 xmlns="http://schemas.microsoft.com/sharepoint/v3" xsi:nil="true"/>
    <Kontaktpersoner xmlns="5aa14257-579e-4a1f-bbbb-3c8dd7393476">
      <UserInfo>
        <DisplayName/>
        <AccountId xsi:nil="true"/>
        <AccountType/>
      </UserInfo>
    </Kontaktpersoner>
    <DynamicPublishingContent1 xmlns="http://schemas.microsoft.com/sharepoint/v3" xsi:nil="true"/>
    <SummaryLinks xmlns="http://schemas.microsoft.com/sharepoint/v3">&lt;div title="_schemaversion" id="_3"&gt;
  &lt;div title="_view"&gt;
    &lt;span title="_columns"&gt;1&lt;/span&gt;
    &lt;span title="_linkstyle"&gt;&lt;/span&gt;
    &lt;span title="_groupstyle"&gt;&lt;/span&gt;
  &lt;/div&gt;
&lt;/div&gt;</SummaryLinks>
    <Afrapportering xmlns="3f8883b8-a613-49b8-9e7a-815b7776ebd6">1223;#Fundamentet for landbrugsbedriftens bæredygtighedsplatform</Afrapportering>
    <PublishingStartDate xmlns="http://schemas.microsoft.com/sharepoint/v3" xsi:nil="true"/>
    <DynamicPublishingContent9 xmlns="http://schemas.microsoft.com/sharepoint/v3" xsi:nil="true"/>
    <_dlc_DocId xmlns="303eeafb-7dff-46db-9396-e9c651f530ea">LBINFO-340003824-369</_dlc_DocId>
    <FinanceYear xmlns="3f8883b8-a613-49b8-9e7a-815b7776ebd6" xsi:nil="true"/>
    <WebInfoMultiSelect xmlns="3f8883b8-a613-49b8-9e7a-815b7776ebd6" xsi:nil="true"/>
    <PublishingVariationRelationshipLinkFieldID xmlns="http://schemas.microsoft.com/sharepoint/v3">
      <Url xsi:nil="true"/>
      <Description xsi:nil="true"/>
    </PublishingVariationRelationshipLinkFieldID>
    <TaxCatchAll xmlns="303eeafb-7dff-46db-9396-e9c651f530ea"/>
    <DynamicPublishingContent4 xmlns="http://schemas.microsoft.com/sharepoint/v3" xsi:nil="true"/>
    <Listekode xmlns="5aa14257-579e-4a1f-bbbb-3c8dd7393476" xsi:nil="true"/>
    <EnclosureFor xmlns="3f8883b8-a613-49b8-9e7a-815b7776ebd6">
      <Url xsi:nil="true"/>
      <Description xsi:nil="true"/>
    </EnclosureFor>
    <DynamicPublishingContent10 xmlns="http://schemas.microsoft.com/sharepoint/v3" xsi:nil="true"/>
    <Ansvarligafdeling xmlns="3f8883b8-a613-49b8-9e7a-815b7776ebd6">49</Ansvarligafdeling>
    <HeaderStyleDefinitions xmlns="http://schemas.microsoft.com/sharepoint/v3" xsi:nil="true"/>
    <Skribenter xmlns="5aa14257-579e-4a1f-bbbb-3c8dd7393476">
      <UserInfo>
        <DisplayName/>
        <AccountId xsi:nil="true"/>
        <AccountType/>
      </UserInfo>
    </Skribenter>
    <Informationsserie xmlns="5aa14257-579e-4a1f-bbbb-3c8dd7393476" xsi:nil="true"/>
    <ProjectID xmlns="3f8883b8-a613-49b8-9e7a-815b7776ebd6">X1223X</ProjectID>
    <WebInfoSubjects xmlns="3f8883b8-a613-49b8-9e7a-815b7776ebd6" xsi:nil="true"/>
    <Audience xmlns="http://schemas.microsoft.com/sharepoint/v3" xsi:nil="true"/>
    <Bevillingsgivere xmlns="3f8883b8-a613-49b8-9e7a-815b7776ebd6" xsi:nil="true"/>
    <NetSkabelonValue xmlns="3f8883b8-a613-49b8-9e7a-815b7776ebd6" xsi:nil="true"/>
    <DynamicPublishingContent7 xmlns="http://schemas.microsoft.com/sharepoint/v3" xsi:nil="true"/>
    <PublishingImageCaption xmlns="http://schemas.microsoft.com/sharepoint/v3" xsi:nil="true"/>
    <DynamicPublishingContent2 xmlns="http://schemas.microsoft.com/sharepoint/v3" xsi:nil="true"/>
    <GammelURL xmlns="3f8883b8-a613-49b8-9e7a-815b7776ebd6" xsi:nil="true"/>
    <DynamicPublishingContent13 xmlns="http://schemas.microsoft.com/sharepoint/v3" xsi:nil="true"/>
    <WebInfoLawCodes xmlns="3f8883b8-a613-49b8-9e7a-815b7776ebd6" xsi:nil="true"/>
    <Arkiveringsdato xmlns="3f8883b8-a613-49b8-9e7a-815b7776ebd6">2099-12-31T23:00:00+00:00</Arkiveringsdato>
    <PublishingContactPicture xmlns="http://schemas.microsoft.com/sharepoint/v3">
      <Url xsi:nil="true"/>
      <Description xsi:nil="true"/>
    </PublishingContactPicture>
    <Ingen_x0020_besked_x0020_ved_x0020_arkivering xmlns="3f8883b8-a613-49b8-9e7a-815b7776ebd6">false</Ingen_x0020_besked_x0020_ved_x0020_arkivering>
    <PublishingExpirationDate xmlns="http://schemas.microsoft.com/sharepoint/v3" xsi:nil="true"/>
    <DynamicPublishingContent5 xmlns="http://schemas.microsoft.com/sharepoint/v3" xsi:nil="true"/>
    <PublishingVariationGroupID xmlns="http://schemas.microsoft.com/sharepoint/v3" xsi:nil="true"/>
    <DynamicPublishingContent0 xmlns="http://schemas.microsoft.com/sharepoint/v3" xsi:nil="true"/>
    <DynamicPublishingContent11 xmlns="http://schemas.microsoft.com/sharepoint/v3" xsi:nil="true"/>
    <Rettighedsgruppe xmlns="3f8883b8-a613-49b8-9e7a-815b7776ebd6">1</Rettighedsgruppe>
    <PublishingContactName xmlns="http://schemas.microsoft.com/sharepoint/v3" xsi:nil="true"/>
    <_dlc_DocIdUrl xmlns="303eeafb-7dff-46db-9396-e9c651f530ea">
      <Url>https://sp.landbrugsinfo.dk/Afrapportering/business/2020/_layouts/DocIdRedir.aspx?ID=LBINFO-340003824-369</Url>
      <Description>LBINFO-340003824-369</Description>
    </_dlc_DocIdUrl>
    <Afsender xmlns="3f8883b8-a613-49b8-9e7a-815b7776ebd6">2</Afsender>
    <Comments xmlns="http://schemas.microsoft.com/sharepoint/v3">Regneark (database) der indeholder miljø- og klimanormtal for svineproduktion. Brugervejledning og dokumentation findes i regneark
</Comments>
    <Nummer xmlns="5aa14257-579e-4a1f-bbbb-3c8dd7393476" xsi:nil="true"/>
    <DynamicPublishingContent8 xmlns="http://schemas.microsoft.com/sharepoint/v3" xsi:nil="true"/>
    <PublishingPageContent xmlns="http://schemas.microsoft.com/sharepoint/v3" xsi:nil="true"/>
    <Projekter xmlns="3f8883b8-a613-49b8-9e7a-815b7776ebd6" xsi:nil="true"/>
    <HideInRollups xmlns="3f8883b8-a613-49b8-9e7a-815b7776ebd6">false</HideInRollups>
    <DynamicPublishingContent3 xmlns="http://schemas.microsoft.com/sharepoint/v3" xsi:nil="true"/>
    <Sorteringsorden xmlns="5aa14257-579e-4a1f-bbbb-3c8dd7393476" xsi:nil="true"/>
    <HitCount xmlns="3f8883b8-a613-49b8-9e7a-815b7776ebd6">0</HitCount>
    <ArticleByLine xmlns="http://schemas.microsoft.com/sharepoint/v3" xsi:nil="true"/>
    <Bekraeftelsesdato xmlns="5aa14257-579e-4a1f-bbbb-3c8dd7393476">2021-01-21T08:48:00+00:00</Bekraeftelsesdato>
    <PublishingContactEmail xmlns="http://schemas.microsoft.com/sharepoint/v3" xsi:nil="true"/>
    <DynamicPublishingContent12 xmlns="http://schemas.microsoft.com/sharepoint/v3" xsi:nil="true"/>
    <Forfattere xmlns="5aa14257-579e-4a1f-bbbb-3c8dd7393476">
      <UserInfo>
        <DisplayName>i:0e.t|dlbr idp|lfatch@prod.dli</DisplayName>
        <AccountId>62052</AccountId>
        <AccountType/>
      </UserInfo>
    </Forfattere>
    <PublishingPageImage xmlns="http://schemas.microsoft.com/sharepoint/v3" xsi:nil="true"/>
    <IsHiddenFromRollup xmlns="3f8883b8-a613-49b8-9e7a-815b7776ebd6">0</IsHiddenFromRollup>
  </documentManagement>
</p:properties>
</file>

<file path=customXml/itemProps1.xml><?xml version="1.0" encoding="utf-8"?>
<ds:datastoreItem xmlns:ds="http://schemas.openxmlformats.org/officeDocument/2006/customXml" ds:itemID="{477C3438-8E7C-465C-B6EC-522529D45B06}"/>
</file>

<file path=customXml/itemProps2.xml><?xml version="1.0" encoding="utf-8"?>
<ds:datastoreItem xmlns:ds="http://schemas.openxmlformats.org/officeDocument/2006/customXml" ds:itemID="{3F1943BB-A763-4FCE-8938-073187CBF4DA}"/>
</file>

<file path=customXml/itemProps3.xml><?xml version="1.0" encoding="utf-8"?>
<ds:datastoreItem xmlns:ds="http://schemas.openxmlformats.org/officeDocument/2006/customXml" ds:itemID="{4962BDB3-8542-4439-B747-C5168F06F95F}"/>
</file>

<file path=customXml/itemProps4.xml><?xml version="1.0" encoding="utf-8"?>
<ds:datastoreItem xmlns:ds="http://schemas.openxmlformats.org/officeDocument/2006/customXml" ds:itemID="{43D77263-44FD-4518-A8F3-C55C5B8FD7F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N2O emissioner fra stald</vt:lpstr>
      <vt:lpstr>N2O emissioner fra lager</vt:lpstr>
      <vt:lpstr>metan emissioner</vt:lpstr>
      <vt:lpstr>Dokumentation</vt:lpstr>
      <vt:lpstr>Emissionsfaktorer smågrise</vt:lpstr>
      <vt:lpstr>Emissionsfaktorer slagtesvin</vt:lpstr>
      <vt:lpstr>Emissionsfaktorer søer</vt:lpstr>
      <vt:lpstr>Normtal konventionel</vt:lpstr>
      <vt:lpstr>Normtal økologi</vt:lpstr>
      <vt:lpstr>Standard produktivitet</vt:lpstr>
      <vt:lpstr>Ark1</vt:lpstr>
      <vt:lpstr>Normtal Vand-energi-syre</vt:lpstr>
      <vt:lpstr>Standar-Foderblandinger</vt:lpstr>
      <vt:lpstr>Halmstrøelse</vt:lpstr>
      <vt:lpstr>Emissionsfaktorer-M2</vt:lpstr>
      <vt:lpstr>Emission-Gylleopbevaring</vt:lpstr>
      <vt:lpstr>Metan MCF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 4 Miljø- og klimanormtal for svineproduktion</dc:title>
  <dc:creator>Finn Udesen</dc:creator>
  <cp:lastModifiedBy>Sanne Trampedach</cp:lastModifiedBy>
  <dcterms:created xsi:type="dcterms:W3CDTF">2020-11-04T17:41:00Z</dcterms:created>
  <dcterms:modified xsi:type="dcterms:W3CDTF">2021-01-22T07:14:04Z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0x010100C568DB52D9D0A14D9B2FDCC96666E9F2007948130EC3DB064584E219954237AF3900242457EFB8B24247815D688C526CD44D00C26A9DBCB02B5C4DA1F017B836C045C00060750ADE2E6249BABB5C6118FC133DE800AF2E6DC7107240CAAE62CB7A7C0C310000CFF3D82972A55942AC5679D1ECC35AE6</vt:lpwstr>
  </property>
  <property fmtid="{D5CDD505-2E9C-101B-9397-08002B2CF9AE}" pid="3" name="_dlc_DocIdItemGuid">
    <vt:lpwstr>ad8be404-962b-4165-bd12-bc2745184f88</vt:lpwstr>
  </property>
  <property fmtid="{D5CDD505-2E9C-101B-9397-08002B2CF9AE}" pid="4" name="Taksonomi">
    <vt:lpwstr/>
  </property>
</Properties>
</file>